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9600" windowHeight="3012" activeTab="1"/>
  </bookViews>
  <sheets>
    <sheet name="BCE PRUEBA" sheetId="1" r:id="rId1"/>
    <sheet name="HT Inicial" sheetId="2" r:id="rId2"/>
    <sheet name="Ajustes y recla" sheetId="3" r:id="rId3"/>
    <sheet name="Disponible" sheetId="4" r:id="rId4"/>
    <sheet name="Inv acciones" sheetId="5" r:id="rId5"/>
    <sheet name="CDT" sheetId="6" r:id="rId6"/>
    <sheet name="Fondos fiduciarios" sheetId="7" r:id="rId7"/>
    <sheet name="CXCCliente" sheetId="8" r:id="rId8"/>
    <sheet name="Anticipo Provee" sheetId="9" r:id="rId9"/>
    <sheet name="Anticipos Iptos" sheetId="10" r:id="rId10"/>
    <sheet name="Ptos empleados" sheetId="11" r:id="rId11"/>
    <sheet name="Deudores LP" sheetId="12" r:id="rId12"/>
    <sheet name="Provis cxc" sheetId="13" r:id="rId13"/>
    <sheet name="Transito" sheetId="14" r:id="rId14"/>
    <sheet name="Mcias" sheetId="15" r:id="rId15"/>
    <sheet name="VNR Provisión" sheetId="16" r:id="rId16"/>
    <sheet name="AXI Invent" sheetId="17" r:id="rId17"/>
    <sheet name="PPE" sheetId="18" r:id="rId18"/>
    <sheet name="Inmuebles" sheetId="19" r:id="rId19"/>
    <sheet name="Maqui" sheetId="20" r:id="rId20"/>
    <sheet name="AXI PPE" sheetId="21" r:id="rId21"/>
    <sheet name="CC" sheetId="22" r:id="rId22"/>
    <sheet name="Diferidos" sheetId="23" r:id="rId23"/>
    <sheet name="Mejoras" sheetId="24" r:id="rId24"/>
    <sheet name="IP" sheetId="25" r:id="rId25"/>
    <sheet name="OF" sheetId="26" r:id="rId26"/>
    <sheet name="Pasivo laboral" sheetId="27" r:id="rId27"/>
    <sheet name="Provisiones" sheetId="28" r:id="rId28"/>
    <sheet name="CXPLP" sheetId="29" r:id="rId29"/>
    <sheet name="Arrend" sheetId="30" r:id="rId30"/>
    <sheet name="Patrimo" sheetId="31" r:id="rId31"/>
  </sheets>
  <externalReferences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<sst xmlns="http://schemas.openxmlformats.org/spreadsheetml/2006/main" count="1758" uniqueCount="879">
  <si>
    <t xml:space="preserve">BALANCE GENERAL (ESTADO DE SITUACIÓN FINANCIERA) </t>
  </si>
  <si>
    <t>(Miles de pesos)</t>
  </si>
  <si>
    <t xml:space="preserve">Activos   </t>
  </si>
  <si>
    <t xml:space="preserve"> Local </t>
  </si>
  <si>
    <t>Disponible</t>
  </si>
  <si>
    <t>Inversiones temporales</t>
  </si>
  <si>
    <t xml:space="preserve">  Acciones</t>
  </si>
  <si>
    <t xml:space="preserve">  Renta fija</t>
  </si>
  <si>
    <t xml:space="preserve">  Fondos fiduciarios</t>
  </si>
  <si>
    <t>Deudores</t>
  </si>
  <si>
    <t xml:space="preserve">  Clientes</t>
  </si>
  <si>
    <t xml:space="preserve">  Anticipos  a proveedores</t>
  </si>
  <si>
    <t xml:space="preserve">  Anticipo Renta</t>
  </si>
  <si>
    <t xml:space="preserve">  Anticipo Ica</t>
  </si>
  <si>
    <t xml:space="preserve">  Retención en la fuente renta</t>
  </si>
  <si>
    <t xml:space="preserve">  Préstamos a empleados</t>
  </si>
  <si>
    <t xml:space="preserve">  Intereses por cobrar</t>
  </si>
  <si>
    <t xml:space="preserve">  Otros deudores largo plazo</t>
  </si>
  <si>
    <t xml:space="preserve">  Provisión general</t>
  </si>
  <si>
    <t>Inventarios</t>
  </si>
  <si>
    <t xml:space="preserve">  Mercancías en tránsito</t>
  </si>
  <si>
    <t xml:space="preserve">  Mercancías para la venta</t>
  </si>
  <si>
    <t xml:space="preserve">  Provisión para inventarios</t>
  </si>
  <si>
    <t xml:space="preserve">  Ajustes por inflación</t>
  </si>
  <si>
    <t>Gastos pagados por anticipado</t>
  </si>
  <si>
    <t xml:space="preserve">   </t>
  </si>
  <si>
    <t xml:space="preserve">   Seguros</t>
  </si>
  <si>
    <t>Propiedades, planta  y equipo</t>
  </si>
  <si>
    <t xml:space="preserve">  Terrenos</t>
  </si>
  <si>
    <t xml:space="preserve">  Construcciones en curso</t>
  </si>
  <si>
    <t xml:space="preserve">  Inmuebles</t>
  </si>
  <si>
    <t xml:space="preserve">  Maquinaria</t>
  </si>
  <si>
    <t xml:space="preserve">  Muebles y enseres</t>
  </si>
  <si>
    <t xml:space="preserve">  Depreciación acumulada</t>
  </si>
  <si>
    <t xml:space="preserve">  Provisión para terrenos</t>
  </si>
  <si>
    <t xml:space="preserve">  AXI, neto</t>
  </si>
  <si>
    <t>Impuesto diferido activo</t>
  </si>
  <si>
    <t>Activos diferidos e intangibles</t>
  </si>
  <si>
    <t xml:space="preserve">  Software</t>
  </si>
  <si>
    <t xml:space="preserve">  Preoperativos</t>
  </si>
  <si>
    <t xml:space="preserve">  Publicidad</t>
  </si>
  <si>
    <t xml:space="preserve">  Entrenamiento</t>
  </si>
  <si>
    <t xml:space="preserve">  Mejoras en propiedades ajenas</t>
  </si>
  <si>
    <t xml:space="preserve">  Amortización mejoras en PA</t>
  </si>
  <si>
    <t xml:space="preserve">  Marcas, neto</t>
  </si>
  <si>
    <t xml:space="preserve">  Ajuste por inflación diferidos, neto</t>
  </si>
  <si>
    <t>Inversiones permanentes</t>
  </si>
  <si>
    <t xml:space="preserve">  Acciones en bolsa</t>
  </si>
  <si>
    <t xml:space="preserve">  Aportes en limitada</t>
  </si>
  <si>
    <t>Valorizaciones</t>
  </si>
  <si>
    <t xml:space="preserve">  Inversiones permanentes</t>
  </si>
  <si>
    <t>Total activo</t>
  </si>
  <si>
    <t>Pasivos</t>
  </si>
  <si>
    <t xml:space="preserve">Obligaciones financieras </t>
  </si>
  <si>
    <t>Proveedores</t>
  </si>
  <si>
    <t>Acreedores corto plazo</t>
  </si>
  <si>
    <t>Intereses por pagar</t>
  </si>
  <si>
    <t>Retención en la fuente por pagar</t>
  </si>
  <si>
    <t>Pasivos laborales</t>
  </si>
  <si>
    <t>Impuesto de renta por pagar</t>
  </si>
  <si>
    <t>Impuesto a las ventas por pagar</t>
  </si>
  <si>
    <t>Impuesto diferido</t>
  </si>
  <si>
    <t>Provisiones</t>
  </si>
  <si>
    <t xml:space="preserve">  Para costos y gastos</t>
  </si>
  <si>
    <t xml:space="preserve">  Para contingencias</t>
  </si>
  <si>
    <t>Cuentas por pagar largo plazo</t>
  </si>
  <si>
    <t>Total pasivo</t>
  </si>
  <si>
    <t xml:space="preserve"> </t>
  </si>
  <si>
    <t xml:space="preserve">Patrimonio </t>
  </si>
  <si>
    <t xml:space="preserve">Capital </t>
  </si>
  <si>
    <t>Superavit de capital</t>
  </si>
  <si>
    <t>Reservas</t>
  </si>
  <si>
    <t>Utilidad del período</t>
  </si>
  <si>
    <t>Resultados acumulados</t>
  </si>
  <si>
    <t>Superavit por valorizaciones</t>
  </si>
  <si>
    <t>Superávit método de participación</t>
  </si>
  <si>
    <t>Total patrimonio</t>
  </si>
  <si>
    <t>Total pasivo y patrimonio</t>
  </si>
  <si>
    <t>Dr</t>
  </si>
  <si>
    <t>Cr</t>
  </si>
  <si>
    <t>Saldo</t>
  </si>
  <si>
    <t>COMPAÑÍA XYZ SA</t>
  </si>
  <si>
    <t>Exenciones o excepciones a usar:</t>
  </si>
  <si>
    <t>Ninguna</t>
  </si>
  <si>
    <t>Clasificación:</t>
  </si>
  <si>
    <t>Análisis:</t>
  </si>
  <si>
    <t>Cr. Proveedores</t>
  </si>
  <si>
    <t>Tipo</t>
  </si>
  <si>
    <t>Acciones</t>
  </si>
  <si>
    <t>Emisor</t>
  </si>
  <si>
    <t>Ecopetrol</t>
  </si>
  <si>
    <t>Cantidad</t>
  </si>
  <si>
    <t>Precio de mercado</t>
  </si>
  <si>
    <t>Valoración NIIF</t>
  </si>
  <si>
    <t>Libros</t>
  </si>
  <si>
    <t>Ajuste inicial</t>
  </si>
  <si>
    <t>Ajustes para llevar a NIIF:</t>
  </si>
  <si>
    <t>Dr. Instrumentos financieros</t>
  </si>
  <si>
    <t>Cr. Inversiones temporales</t>
  </si>
  <si>
    <t>Cr. Ganancias retenidas</t>
  </si>
  <si>
    <t>Instrumentos financieros</t>
  </si>
  <si>
    <t>Ajuste por valoración a mercado de acciones</t>
  </si>
  <si>
    <t>Total ganancias retenidas</t>
  </si>
  <si>
    <t>A costo amortizado</t>
  </si>
  <si>
    <t>1. Hallar los flujos:</t>
  </si>
  <si>
    <t>Fecha apertura</t>
  </si>
  <si>
    <t>Valor  nominal</t>
  </si>
  <si>
    <t>Plazo</t>
  </si>
  <si>
    <t>meses</t>
  </si>
  <si>
    <t>Tasa</t>
  </si>
  <si>
    <t>EA AV</t>
  </si>
  <si>
    <t>Saldo local:</t>
  </si>
  <si>
    <t>Capital</t>
  </si>
  <si>
    <t>Interes x cobrar en cuentas por cobrar</t>
  </si>
  <si>
    <t>2. Hallar la TIR</t>
  </si>
  <si>
    <t>EA</t>
  </si>
  <si>
    <t>MV</t>
  </si>
  <si>
    <t>3. Valoración:</t>
  </si>
  <si>
    <t>Plazo para vencimiento del título</t>
  </si>
  <si>
    <t>Valor futuro a recibir</t>
  </si>
  <si>
    <t>Valor actual</t>
  </si>
  <si>
    <t>Ajuste por valoración</t>
  </si>
  <si>
    <t>Cr. Interes x cobrar</t>
  </si>
  <si>
    <t>Dr. Ganancias retenidas</t>
  </si>
  <si>
    <t>Renta fija</t>
  </si>
  <si>
    <t>Ajuste por valoración al costo amortizado del CDT</t>
  </si>
  <si>
    <t>Por ser anticipos para compra de mercancias se reclasifica como inventarios</t>
  </si>
  <si>
    <t>Dr. Inventarios</t>
  </si>
  <si>
    <t>Anticipos</t>
  </si>
  <si>
    <t>Cr. Deudores</t>
  </si>
  <si>
    <t>Saldos a compensar</t>
  </si>
  <si>
    <t>Saldo activos:</t>
  </si>
  <si>
    <t>Saldo a favor neto</t>
  </si>
  <si>
    <t>DR.Impuesto de renta por pagar</t>
  </si>
  <si>
    <t>DR. Impuesto a las ventas por pagar</t>
  </si>
  <si>
    <t>CR.   Anticipo Renta</t>
  </si>
  <si>
    <t>CR.   Retención en la fuente renta</t>
  </si>
  <si>
    <t>DR. Saldo a favor en impuesto renta</t>
  </si>
  <si>
    <t xml:space="preserve">  Saldo a favor en impuesto de renta</t>
  </si>
  <si>
    <t>Fecha del préstamos</t>
  </si>
  <si>
    <t>Valor</t>
  </si>
  <si>
    <t>Forma de pago:</t>
  </si>
  <si>
    <t>Interes</t>
  </si>
  <si>
    <t>anual</t>
  </si>
  <si>
    <t>Vencimiento</t>
  </si>
  <si>
    <t>años</t>
  </si>
  <si>
    <t>Tasa de interés anual</t>
  </si>
  <si>
    <t>Mes</t>
  </si>
  <si>
    <t>Saldo inicial</t>
  </si>
  <si>
    <t>Años</t>
  </si>
  <si>
    <t>Valor futuro</t>
  </si>
  <si>
    <t>Ajuste de valoración</t>
  </si>
  <si>
    <t>Cr. Cuentas por cobrar empleados</t>
  </si>
  <si>
    <t>Forma de pago</t>
  </si>
  <si>
    <t>Ajuste valorativo</t>
  </si>
  <si>
    <t>Cr. Cuentas por cobrar otros</t>
  </si>
  <si>
    <t>Ajuste por valoración de otros deudores largo plazo</t>
  </si>
  <si>
    <t>Saldo de las cuentas por cobrar clientes:</t>
  </si>
  <si>
    <t>Provisión</t>
  </si>
  <si>
    <t>Valor recuperable</t>
  </si>
  <si>
    <t>Tasa de interés</t>
  </si>
  <si>
    <t>Valor presente</t>
  </si>
  <si>
    <t>Total</t>
  </si>
  <si>
    <t>Local</t>
  </si>
  <si>
    <t>Ajuste a la provisión</t>
  </si>
  <si>
    <t>Cr. Provisión para cxc</t>
  </si>
  <si>
    <t>Ajuste a la provisión de cuentas por cobrar</t>
  </si>
  <si>
    <t>1. Mercancía en tránsito</t>
  </si>
  <si>
    <t>1.1. Mercancias compradas</t>
  </si>
  <si>
    <t>Costo de compra a crédito</t>
  </si>
  <si>
    <t>Fletes</t>
  </si>
  <si>
    <t>Gastos admón</t>
  </si>
  <si>
    <t>Saldo local</t>
  </si>
  <si>
    <t>Elimina</t>
  </si>
  <si>
    <t>Costo de compra al contado</t>
  </si>
  <si>
    <t>Costo NIIF</t>
  </si>
  <si>
    <t>Libros local</t>
  </si>
  <si>
    <t>Cr. Inventario en tránsito</t>
  </si>
  <si>
    <t>1.2. Mercancías enviadas a sus propios almacenes</t>
  </si>
  <si>
    <t>Costo de compra</t>
  </si>
  <si>
    <t>crédito</t>
  </si>
  <si>
    <t>Gastos de admón</t>
  </si>
  <si>
    <t>Costo de compra contado</t>
  </si>
  <si>
    <t>Flete</t>
  </si>
  <si>
    <t>Ajuste</t>
  </si>
  <si>
    <t>Ajuste en valoración inventario tránsito comprado</t>
  </si>
  <si>
    <t>Ajuste en valoración inventario tránsito a almacenes</t>
  </si>
  <si>
    <t>Saldos locales:</t>
  </si>
  <si>
    <t>Mercancías en la ciudad</t>
  </si>
  <si>
    <t>Mercancías fuera de la ciudad</t>
  </si>
  <si>
    <t>Mercancias en bodega</t>
  </si>
  <si>
    <t>Total local</t>
  </si>
  <si>
    <t>Análisis para llevar a NIIF:</t>
  </si>
  <si>
    <t>Costo local</t>
  </si>
  <si>
    <t>Menos descuento por pronto pago</t>
  </si>
  <si>
    <t>Mas fletes para llevaar a los almacenes</t>
  </si>
  <si>
    <t>Saldo NIIF</t>
  </si>
  <si>
    <t>Cr. Mercancias</t>
  </si>
  <si>
    <t>Ajuste en valoración mercancias</t>
  </si>
  <si>
    <t>Detalle:</t>
  </si>
  <si>
    <t>Gtos venta</t>
  </si>
  <si>
    <t>Dto especial</t>
  </si>
  <si>
    <t>Menor</t>
  </si>
  <si>
    <t>Se elimina  provisión local</t>
  </si>
  <si>
    <t>Dr. Provisión inventarios</t>
  </si>
  <si>
    <t>Eliminación de la provisión para inventarios</t>
  </si>
  <si>
    <t>Cr. Inventarios AXI</t>
  </si>
  <si>
    <t>Eliminación de los AXI de inventarios</t>
  </si>
  <si>
    <t>Almacenes</t>
  </si>
  <si>
    <t>CB</t>
  </si>
  <si>
    <t>DA</t>
  </si>
  <si>
    <t>Neto</t>
  </si>
  <si>
    <t>vida útil</t>
  </si>
  <si>
    <t>Oficinas administrativas</t>
  </si>
  <si>
    <t>Inmueble uno en arriendo</t>
  </si>
  <si>
    <t>Costo bruto</t>
  </si>
  <si>
    <t>Avalúo</t>
  </si>
  <si>
    <t>Diferencia</t>
  </si>
  <si>
    <t>Subtotal</t>
  </si>
  <si>
    <t>Demás terrenos:</t>
  </si>
  <si>
    <t xml:space="preserve">    Oficinas administrativas</t>
  </si>
  <si>
    <t xml:space="preserve">     Almacenes</t>
  </si>
  <si>
    <t xml:space="preserve">    Inmueble uno en arriendo</t>
  </si>
  <si>
    <t>Ajuste de conversión:</t>
  </si>
  <si>
    <t>Dr. Propiedades de inversión - terrenos:</t>
  </si>
  <si>
    <t>Dr. Propiedades, planta y equipo</t>
  </si>
  <si>
    <t>Totales</t>
  </si>
  <si>
    <t>2. Análisis de las edificaciones:</t>
  </si>
  <si>
    <t>2.1. Determinación del costo atribuido con base en el avalúo:</t>
  </si>
  <si>
    <t>Costo neto</t>
  </si>
  <si>
    <t>Dr. Propiedades de inversión</t>
  </si>
  <si>
    <t>Dr. Depreciación acumulada</t>
  </si>
  <si>
    <t>3. Análisis de los inmuebles entregados en arrendamiento:</t>
  </si>
  <si>
    <t>3.1. Inmueble No. 1</t>
  </si>
  <si>
    <t>Plazo mensual</t>
  </si>
  <si>
    <t>Canon</t>
  </si>
  <si>
    <t>mes</t>
  </si>
  <si>
    <t>Opción de compra</t>
  </si>
  <si>
    <t>No hay</t>
  </si>
  <si>
    <t>Prorroga</t>
  </si>
  <si>
    <t>máximo 3 años</t>
  </si>
  <si>
    <t>Valor presente de los canones futuros</t>
  </si>
  <si>
    <t>Tasa a usar</t>
  </si>
  <si>
    <t>Tasa mensual</t>
  </si>
  <si>
    <t>mensual</t>
  </si>
  <si>
    <t>Valor razonable</t>
  </si>
  <si>
    <t>% de valor razonable vs VP</t>
  </si>
  <si>
    <t>Conclusión: Es un contrato de arrendamiento operativo</t>
  </si>
  <si>
    <t>Ajuste para llevar a NIIF</t>
  </si>
  <si>
    <t>PROPIEDADES, PLANTA Y EQUIPO</t>
  </si>
  <si>
    <t xml:space="preserve">  valor razonable a dicha fecha.</t>
  </si>
  <si>
    <t>Solo serán activo aquellas partidas de las cuales sea probable que  generen beneficios</t>
  </si>
  <si>
    <t xml:space="preserve">  económicos futuros. Si no cumple, es un gasto.</t>
  </si>
  <si>
    <t>El costo, es el valor acordado con el proveedor neto de descuento y similares</t>
  </si>
  <si>
    <t>Solo se capitalizan erogaciones que sean necesarias para deja el activo listo para su uso</t>
  </si>
  <si>
    <t>1. Valor en libros local:</t>
  </si>
  <si>
    <t>Depreciacion acumulada</t>
  </si>
  <si>
    <t>Fecha de compra</t>
  </si>
  <si>
    <t>Vida útil</t>
  </si>
  <si>
    <t>Se capitalizo:</t>
  </si>
  <si>
    <t>Diferencia en cambio</t>
  </si>
  <si>
    <t>Reparaciones menores</t>
  </si>
  <si>
    <t>Avalúo técnico</t>
  </si>
  <si>
    <t>Costo neto en libros local</t>
  </si>
  <si>
    <t xml:space="preserve">Ajustes </t>
  </si>
  <si>
    <t>Maquinaria</t>
  </si>
  <si>
    <t>Cr. Propidades, planta y equipo</t>
  </si>
  <si>
    <t>Costo neto en libros bajo NIIF</t>
  </si>
  <si>
    <t>Tasa de</t>
  </si>
  <si>
    <t>Ingresos</t>
  </si>
  <si>
    <t>Egresos</t>
  </si>
  <si>
    <t>descuento</t>
  </si>
  <si>
    <t>Valor de uso</t>
  </si>
  <si>
    <t>Queda por el menor</t>
  </si>
  <si>
    <t>Valoración</t>
  </si>
  <si>
    <t>Se debe realizar el test para determinar si es financiero u operativo</t>
  </si>
  <si>
    <t>Si es financiero se reconoce un activo y un pasivo</t>
  </si>
  <si>
    <t>Contrato de Arriendo uno</t>
  </si>
  <si>
    <t>Fecha del contrato</t>
  </si>
  <si>
    <t>Plazo en meses</t>
  </si>
  <si>
    <t>Canon mensual</t>
  </si>
  <si>
    <t>Valor residual</t>
  </si>
  <si>
    <t>Tasa de interes</t>
  </si>
  <si>
    <t>Tasa de interes mensual</t>
  </si>
  <si>
    <t>Mensuales</t>
  </si>
  <si>
    <t>Conclusión</t>
  </si>
  <si>
    <t>Es financiero dado que el VPN es similar al valor de mercado</t>
  </si>
  <si>
    <t>Dr. PPE</t>
  </si>
  <si>
    <t>Cr. Obligaciones financieras</t>
  </si>
  <si>
    <t>Cr. GR</t>
  </si>
  <si>
    <t>Cálculo del pasivo:</t>
  </si>
  <si>
    <t>Causa interes</t>
  </si>
  <si>
    <t>Pagos</t>
  </si>
  <si>
    <t>Saldo final</t>
  </si>
  <si>
    <t>Contrato de Arriendo dos</t>
  </si>
  <si>
    <t>Es un operativo</t>
  </si>
  <si>
    <t>No hay ajustes</t>
  </si>
  <si>
    <t>Cálculo de la depreciación del activo en arriendo financiero:</t>
  </si>
  <si>
    <t>Base de depre</t>
  </si>
  <si>
    <t>Años a depreciar</t>
  </si>
  <si>
    <t>Cuota anual</t>
  </si>
  <si>
    <t>Cr. Depreciación acumulada</t>
  </si>
  <si>
    <t>Cr. PPE</t>
  </si>
  <si>
    <t>Dr. Provisión terrenos</t>
  </si>
  <si>
    <t>Dr. PPE - Edificios</t>
  </si>
  <si>
    <t>Ajuste por incorporación de inmueble en arriendo financiero</t>
  </si>
  <si>
    <t>Depreciación del activo en arriendo financiero</t>
  </si>
  <si>
    <t>Propiedades de inversión</t>
  </si>
  <si>
    <t>Eliminación de provisión terrenos</t>
  </si>
  <si>
    <t>Eliminación de axi en PPE</t>
  </si>
  <si>
    <t>ACTIVOS DIFERIDOS E INTANGIBLES</t>
  </si>
  <si>
    <t>1. Preoperativos:</t>
  </si>
  <si>
    <t>No cumplen el requisito para ser activo, por tanto se debe eliminar.</t>
  </si>
  <si>
    <t>Cr. Diferidos - preoperativos</t>
  </si>
  <si>
    <t>2. Publicidad:</t>
  </si>
  <si>
    <t>Cr. Diferidos - publicidad</t>
  </si>
  <si>
    <t>3. Entrenamiento:</t>
  </si>
  <si>
    <t>Cr. Diferidos - Entrenamiento</t>
  </si>
  <si>
    <t>4. Marcas</t>
  </si>
  <si>
    <t>Cumple el requisito pero se valor recuperable es menor al valor en libros, por tanto debe ser ajustada.</t>
  </si>
  <si>
    <t>Valor libros</t>
  </si>
  <si>
    <t>Ajuste de conversión</t>
  </si>
  <si>
    <t>Cr. Marcas</t>
  </si>
  <si>
    <t>5. Ajustes por inflación</t>
  </si>
  <si>
    <t>Valor local de la AXI</t>
  </si>
  <si>
    <t>Cr. Activos diferido  AXI</t>
  </si>
  <si>
    <t>6. Software:</t>
  </si>
  <si>
    <t>Soporte de la operación</t>
  </si>
  <si>
    <t>Administrativo</t>
  </si>
  <si>
    <t>1. Detalle de las mejoras en propiedades ajenas:</t>
  </si>
  <si>
    <t>Mano de obra</t>
  </si>
  <si>
    <t>Cumple para capitalizar</t>
  </si>
  <si>
    <t>Materiales</t>
  </si>
  <si>
    <t>Costos variables</t>
  </si>
  <si>
    <t>Costos de apertura</t>
  </si>
  <si>
    <t>NO Cumple para capitalizar - SE ELIMINA</t>
  </si>
  <si>
    <t>Gastos de administración</t>
  </si>
  <si>
    <t>Amortización acumulada</t>
  </si>
  <si>
    <t>Cr. Diferidos - Mejoras en propiedad ajena</t>
  </si>
  <si>
    <t>Costo bruto local</t>
  </si>
  <si>
    <t>Amortización acumulada local</t>
  </si>
  <si>
    <t>% de amortización</t>
  </si>
  <si>
    <t>Años de vida util local</t>
  </si>
  <si>
    <t>Año que se ha amortizado</t>
  </si>
  <si>
    <t>Amortización anual</t>
  </si>
  <si>
    <t>Años transcurridos</t>
  </si>
  <si>
    <t>Amortización local acumulada</t>
  </si>
  <si>
    <t>Dr. Amortización acumulada Mejoras en propiedad ajena</t>
  </si>
  <si>
    <t>3. Cálculo de los costos de desmantelamiento y retiro:</t>
  </si>
  <si>
    <t>Se hará uso de la excepción del cálculo a la fecha de conversión inicial:</t>
  </si>
  <si>
    <t>Costos a hoy:</t>
  </si>
  <si>
    <t>No. de años que faltan para al retiro</t>
  </si>
  <si>
    <t>Indice esperado de crecimiento de los costos</t>
  </si>
  <si>
    <t>Valor futuro del costo de desmantelamiento</t>
  </si>
  <si>
    <t>Tasa de descuento</t>
  </si>
  <si>
    <t>Valor actual del pasivo por desmantelamiento</t>
  </si>
  <si>
    <t>Provisión en el pasivo</t>
  </si>
  <si>
    <t>Dr. Mejoras en propiedads ajenas</t>
  </si>
  <si>
    <t>Cr. Provisión para desmantelamiento - pasivo</t>
  </si>
  <si>
    <t>5. Traslado a propiedades, planta y equipo:</t>
  </si>
  <si>
    <t>Amortiz</t>
  </si>
  <si>
    <t>Ajustes para llevar sa NIIF:</t>
  </si>
  <si>
    <t>Eliminan partidas que o cumplen</t>
  </si>
  <si>
    <t>Recalcula la amortización acumulada</t>
  </si>
  <si>
    <t>Se incluyen costos de desmantelamiento</t>
  </si>
  <si>
    <t>Cr. Mejoras en propiedades ajenas - diferido</t>
  </si>
  <si>
    <t>Dr. Amortización acumulada - diferidos</t>
  </si>
  <si>
    <t xml:space="preserve">Eliminación de partidas en mejoras ajenas </t>
  </si>
  <si>
    <t>Provisión para desmantelamiento</t>
  </si>
  <si>
    <t>Valoración bajo NIIF</t>
  </si>
  <si>
    <t>Cr. Inversiones permanentes</t>
  </si>
  <si>
    <t>Se mantiene el valor local por ser el costo original</t>
  </si>
  <si>
    <t>Valor local</t>
  </si>
  <si>
    <t>Superavit x revaluación de activos PPE</t>
  </si>
  <si>
    <t>Superavit x revaluación de IF</t>
  </si>
  <si>
    <t>1. Destino del endeudamiento:</t>
  </si>
  <si>
    <t>Financia operaciones normales</t>
  </si>
  <si>
    <t>1. Detalle de las obligaciones financieras</t>
  </si>
  <si>
    <t>Monto inicial</t>
  </si>
  <si>
    <t>Mensual</t>
  </si>
  <si>
    <t>Interes x pagar</t>
  </si>
  <si>
    <t>Si la deuda es de largo plazo se valora de acuerdo con el costo amortizado y si no</t>
  </si>
  <si>
    <t>se han pactado interes o son inferioresa los del mercado, se valoran a valor presente</t>
  </si>
  <si>
    <t>con base en la tasa de mercado</t>
  </si>
  <si>
    <t>Tasa de interés de mercado</t>
  </si>
  <si>
    <t>Efectiva anual</t>
  </si>
  <si>
    <t>Dr. CXP</t>
  </si>
  <si>
    <t>Saldo por pagar</t>
  </si>
  <si>
    <t>Saldo libros</t>
  </si>
  <si>
    <t>2. Valoración con base en el costo amortizado:</t>
  </si>
  <si>
    <t>SI</t>
  </si>
  <si>
    <t>SF</t>
  </si>
  <si>
    <t>CR. Ganancias retenidas</t>
  </si>
  <si>
    <t xml:space="preserve">tasa  de crecimiento </t>
  </si>
  <si>
    <t>dias de prima</t>
  </si>
  <si>
    <t>tasa de descuento</t>
  </si>
  <si>
    <t>ea</t>
  </si>
  <si>
    <t>PROVISIONES</t>
  </si>
  <si>
    <t>Las provisiones para gastos incurridos son pasivos reales</t>
  </si>
  <si>
    <t>1. Saldo local:</t>
  </si>
  <si>
    <t>2. Traslado de provisiones para gastos a pasivos reales</t>
  </si>
  <si>
    <t>Dr. Provisiones para gastos</t>
  </si>
  <si>
    <t>CR. Acreedores  corto plazo</t>
  </si>
  <si>
    <t>3. Elimina provisión para gastos futuros</t>
  </si>
  <si>
    <t>PPE</t>
  </si>
  <si>
    <t>Ajuste valoración de Obligaciones financieras</t>
  </si>
  <si>
    <t>Ajuste valoración CXP LP</t>
  </si>
  <si>
    <t>Ajuste valoración prima de antigüedad</t>
  </si>
  <si>
    <t>Cr. Ventas</t>
  </si>
  <si>
    <t xml:space="preserve">HOJA DE TRABAJO CONVERSIÓN BALANCE INICIAL </t>
  </si>
  <si>
    <t>Ajustes por errores PCGA</t>
  </si>
  <si>
    <t>Ajustes por convergencia</t>
  </si>
  <si>
    <t>Oct</t>
  </si>
  <si>
    <t>Nov</t>
  </si>
  <si>
    <t>Dec</t>
  </si>
  <si>
    <t>1. Detalle al 31 de diciembre de 2014:</t>
  </si>
  <si>
    <t>Inmueble en arriendo</t>
  </si>
  <si>
    <t>Edificios:</t>
  </si>
  <si>
    <t>Terrenos:</t>
  </si>
  <si>
    <t xml:space="preserve">    Sin destinación aún</t>
  </si>
  <si>
    <t xml:space="preserve">  Acciones </t>
  </si>
  <si>
    <t xml:space="preserve">  AL 31 DE DICIEMBRE DE 2014</t>
  </si>
  <si>
    <t>INSTRUMENTOS FINANCIEROS BÁSICOS</t>
  </si>
  <si>
    <t>Sección 11</t>
  </si>
  <si>
    <t>Quedan como saldo del efectivo solo los dineros disponibles y se denomina efectivo y equivalentes de efectivo</t>
  </si>
  <si>
    <t>Sección 11 y sección 7</t>
  </si>
  <si>
    <t xml:space="preserve">  con el acreedor dado que la deuda aún existe</t>
  </si>
  <si>
    <t>De acuerdo con las NIIF Pymes, estos valores no disminuyen el saldo del banco ni cancelan la obligación</t>
  </si>
  <si>
    <r>
      <rPr>
        <b/>
        <sz val="11"/>
        <color indexed="8"/>
        <rFont val="Calibri"/>
        <family val="2"/>
      </rPr>
      <t>Base NIIF Pymes:</t>
    </r>
    <r>
      <rPr>
        <b/>
        <sz val="11"/>
        <color indexed="8"/>
        <rFont val="Calibri"/>
        <family val="2"/>
      </rPr>
      <t xml:space="preserve"> </t>
    </r>
  </si>
  <si>
    <t>1. Se reclasifica el saldo para denominar la cuenta como efectivo y equivalentes a efectivo</t>
  </si>
  <si>
    <t>2. La compañía tiene cheques girados a proveedores no entregados por $ 2.120</t>
  </si>
  <si>
    <t>1. Para reclasificar al nombre Efectivo y equivalentes a efectivo:</t>
  </si>
  <si>
    <t>Dr. Efectivo y equivalentes a efectivo</t>
  </si>
  <si>
    <t>Cr. Disponible</t>
  </si>
  <si>
    <t>2. Ajuste para eliminar cheques girados no entregados:</t>
  </si>
  <si>
    <t>RESUMEN AJUSTES PARA CONVERSIÓN BALANCE INICIAL AL 31 DE DICIEMBRE DE 2014</t>
  </si>
  <si>
    <t>Efectivo y equivalentes a efectivo</t>
  </si>
  <si>
    <t xml:space="preserve">Reclasificaciones </t>
  </si>
  <si>
    <t>Medición:</t>
  </si>
  <si>
    <t>A valor razonable con cambios en el valor razonable reconocidos en resultados</t>
  </si>
  <si>
    <t>Son inversiones en acciones que cotizan en bolsa de valores cuyo precio está disponible en dicho mercado</t>
  </si>
  <si>
    <t>Valoración para llevar a NIIF Pymes:</t>
  </si>
  <si>
    <t>Valoración NIIF Pymes</t>
  </si>
  <si>
    <t>Ajustes para llevar a NIIF Pymes:</t>
  </si>
  <si>
    <t>A Valor razonable con cambios en resultados</t>
  </si>
  <si>
    <t>3. Valoración delas invrersiones en acciones a precios de mercado:</t>
  </si>
  <si>
    <t>A costo amortizado con base en la tasa de interés efectiva</t>
  </si>
  <si>
    <t>Son instrumentos de deuda que tiene pactado un interés determinable</t>
  </si>
  <si>
    <t>I - Cálculo del costo amortizado con base en la tasa de interés efectiva:</t>
  </si>
  <si>
    <t>Si bien es cierto se compró por $ 13.500 en la contabilidad aparece registrado por $ 13.446</t>
  </si>
  <si>
    <t>Total registrado localmente</t>
  </si>
  <si>
    <t>Se descuento el valor futuro con la TIR mes vencido por estar tomando como períodos meses</t>
  </si>
  <si>
    <t>Ajustes para llevar a NIIF Pymes por valoración:</t>
  </si>
  <si>
    <t>Otra forma de valorarlo:</t>
  </si>
  <si>
    <t>4. Valoración del CDT al costo amortizado</t>
  </si>
  <si>
    <t xml:space="preserve">Quedan como saldo del efectivo y equivalentes las inversiones de corto plazo (menos de 3 meses) </t>
  </si>
  <si>
    <t>Por tratarse de dineros para administrar liquidez y de uso inmediato para pagos a corto plazo deben ser trasladados</t>
  </si>
  <si>
    <t xml:space="preserve">  como parte del efectivo y euiavalentes a efectivo. De otro lado, ya están valorados a precios de mercado realizado</t>
  </si>
  <si>
    <t xml:space="preserve">  por el administrador del fondo (Fiducia)</t>
  </si>
  <si>
    <t xml:space="preserve">   Fondos fiduciarios</t>
  </si>
  <si>
    <t>Para reclasificar aEfectivo y equivalentes a efectivo:</t>
  </si>
  <si>
    <t>5. Para reclasificar a Efectivo y equivalentes a efectivo el saldo de fondos fiduciarios:</t>
  </si>
  <si>
    <t xml:space="preserve">   A valor razonable con cambios en resultados</t>
  </si>
  <si>
    <t xml:space="preserve">   Al costo amortizado</t>
  </si>
  <si>
    <t xml:space="preserve">Sección 11 </t>
  </si>
  <si>
    <t>Si la cuenta por cobrar es corriente se miden al valor de la transacción sin descontar (financieramente) a menos</t>
  </si>
  <si>
    <t xml:space="preserve">  que el acuerdo constituya una transacción de financiación (si el plazo otorgado va más allá del término comercial</t>
  </si>
  <si>
    <t xml:space="preserve">  normal.</t>
  </si>
  <si>
    <t>En este caso, el plazo normal es de un mes, pero a estos clientes se otorgo un plazo adicional de cinco meses</t>
  </si>
  <si>
    <t xml:space="preserve">  En consecuencia en su medición inicial se reconocen por el valor presente de los flujos futuros a partir de la </t>
  </si>
  <si>
    <t xml:space="preserve">  fecha de financiación y al cierre del período (31 de diciembre de 2014) se actualizan con base en el costo</t>
  </si>
  <si>
    <t xml:space="preserve">  amortizado usando la tasa de interés efectiva</t>
  </si>
  <si>
    <t>Si a todos los clientes se les otorga un plazo de pago normal, el saldo es igual al valor de la transacción</t>
  </si>
  <si>
    <t>1. Recálculo de la medición de la cuenta por cobrar al momento de reconocimiento inicial (1 noviembre de 2014):</t>
  </si>
  <si>
    <t>Valor venta término normal</t>
  </si>
  <si>
    <t>Valor de la venta con financiación</t>
  </si>
  <si>
    <t>Diferencia por financiación</t>
  </si>
  <si>
    <t>El registro bajo NIIF Pymes debió ser:</t>
  </si>
  <si>
    <t>Dr. CXC Clientes</t>
  </si>
  <si>
    <t>2. Recálculo de la medición posterior y reconocimiento de los ingresos por intereses al 31 de diciembre de 2014:</t>
  </si>
  <si>
    <t>2.1. Determinación de la tasa de interés efectiva:</t>
  </si>
  <si>
    <t>Valor término normal</t>
  </si>
  <si>
    <t>Valor financiado</t>
  </si>
  <si>
    <t>TIR</t>
  </si>
  <si>
    <t>Para cinco meses (tiempo de la financiación que inicia en diciembre de 2104)</t>
  </si>
  <si>
    <t>2.2. Recálculo de la cxc clientes y causación intereses mes de diciembre de 2014:</t>
  </si>
  <si>
    <t>Saldo inicial cxc</t>
  </si>
  <si>
    <t>Tasa de interés mensual</t>
  </si>
  <si>
    <t>TIR mes vencida</t>
  </si>
  <si>
    <t>Interes a cusar mes de diciembre de 2014</t>
  </si>
  <si>
    <t>Cr. Ingresos por intereses</t>
  </si>
  <si>
    <t>3. Determinación del ajuste para llevar a NIIF Pymes:</t>
  </si>
  <si>
    <t>Saldo de la cxc clientes NIIF Pymes:</t>
  </si>
  <si>
    <t>Ajuste por intereses</t>
  </si>
  <si>
    <t>Saldo 31 de diciembre NIIF Pymes CXC</t>
  </si>
  <si>
    <t>Ajuste para llevar a NIIF Pymes</t>
  </si>
  <si>
    <t>4. Ajustes para llevar a NIIF valoración de la cxc clientes con financiación</t>
  </si>
  <si>
    <t>Cr. CXC Clientes</t>
  </si>
  <si>
    <t>Otra forma de valorar ésta cuenta por cobrar:</t>
  </si>
  <si>
    <t>Hallar el valor futuro a recibir</t>
  </si>
  <si>
    <t>No. de meses para recibir el pago</t>
  </si>
  <si>
    <t>Con corte al 31 de diciembre</t>
  </si>
  <si>
    <t>Tasaa de interés MV</t>
  </si>
  <si>
    <t>Valor actual 31 de diciembre 2014 NIIF Pymes</t>
  </si>
  <si>
    <t>6. Se valoran las cuentas por cobrar a clientes que incluyen financiación:</t>
  </si>
  <si>
    <t>Ajuste por valoración cxc clientes con financiación</t>
  </si>
  <si>
    <t>INSTRUMENTOS FINANCIEROS BÁSICOS E INVENTARIOS</t>
  </si>
  <si>
    <t>Sección 11 y sección 13</t>
  </si>
  <si>
    <t>Concepto:</t>
  </si>
  <si>
    <t>Los anticipos a proveedores se reconocen en la cuenta de acuerdo con su destino: No son instrumentos financieros porque no representan efectivo sino mercancías a recibir</t>
  </si>
  <si>
    <t>7. Se reclasifica anticipos para compra de mercancias como inventario</t>
  </si>
  <si>
    <t>TOTALES DE VALIDACIÓN</t>
  </si>
  <si>
    <t>IMPUESTO A LAS GANANCIAS:</t>
  </si>
  <si>
    <t>Sección 29</t>
  </si>
  <si>
    <t>Los impuestos corrientes activos y pasivos se compensan si hay un derecgo legal a ello y se tenga la</t>
  </si>
  <si>
    <t xml:space="preserve">  intención de hacerlo</t>
  </si>
  <si>
    <t xml:space="preserve">Los saldos de retención en la fuente del año 2014 se aplican al impuesto corriente del año 2014, así como </t>
  </si>
  <si>
    <t xml:space="preserve">  los anticipos del impuesto para el año 2014 pagados con la renta del 2013 se aplican a la renta del 2014</t>
  </si>
  <si>
    <t>Por todo lo anterior, se procede a netear estos saldos</t>
  </si>
  <si>
    <t>Igualmente, el Iva a pagar será compensado con el saldo a favor de renta del 2014, lo cual es permitido en la ley</t>
  </si>
  <si>
    <t>Saldo pasivos:</t>
  </si>
  <si>
    <t>8. Se reclasifica anticipos de impuestos neteando saldos activos con saldos pasivos</t>
  </si>
  <si>
    <t>INSTRUMENTOS FINANCIEROS BÁSICOS Y BENEFICIOS A LOS EMPLEADOS:</t>
  </si>
  <si>
    <t>Sección 11  y Sección 28</t>
  </si>
  <si>
    <t>Las operaciones de financiación a largo plazo a una tasa de interés que no es de mercado, se miden al valor presente</t>
  </si>
  <si>
    <t xml:space="preserve">  de los pagos futuros descontados a una tasa de interés de mercado para un instrumentos similar</t>
  </si>
  <si>
    <t>Es un préstamo a largo plazo a un empleado cuya tasa de interés anual del 1% es menor a la tasa normal de mercado.</t>
  </si>
  <si>
    <t xml:space="preserve">  Por tal razón debe ser valorado al 31 de diciembre de 2014 mediante el descuento a tasa de mercado de los flujos </t>
  </si>
  <si>
    <t xml:space="preserve">  futuros a recibir</t>
  </si>
  <si>
    <t>De acuerdo con la información la tasa de mercado para préstamos similares es del</t>
  </si>
  <si>
    <t>Por lo tanto la tasa mensual equivalente sería de</t>
  </si>
  <si>
    <t>1. Detalle del préstamo:</t>
  </si>
  <si>
    <t>1 junio de 2014</t>
  </si>
  <si>
    <t>2. Valoración del préstamo bajo NIIF Pymes:</t>
  </si>
  <si>
    <t>Año</t>
  </si>
  <si>
    <t>Fecha</t>
  </si>
  <si>
    <t>Total flujos a recibir</t>
  </si>
  <si>
    <t>Meses a descontar*</t>
  </si>
  <si>
    <t>* Desde la fecha esperado de pago al 31 de diciembre de 2014</t>
  </si>
  <si>
    <t>Tasa MV</t>
  </si>
  <si>
    <t>Valoración bajo NIIF 31/12/2014</t>
  </si>
  <si>
    <t>2.1. Hallar los flujos futuros:</t>
  </si>
  <si>
    <t>2.2.. Valor actual de los flujos futuros del préstamo al</t>
  </si>
  <si>
    <t>Total valoración NIIF</t>
  </si>
  <si>
    <t>Valor libros local</t>
  </si>
  <si>
    <t>4. Ajuste para NIIF Pymes:</t>
  </si>
  <si>
    <t>Ajuste por valoración de préstamo a empleado</t>
  </si>
  <si>
    <t>Mes a descontar</t>
  </si>
  <si>
    <t>Otra forma de valorarlo es realizar los cálculos retroactivos, con base en la fecha del préstamo:</t>
  </si>
  <si>
    <t>Valor actual a la fecha del préstamo</t>
  </si>
  <si>
    <t>Saldo al 31 de diciembre de 2014</t>
  </si>
  <si>
    <t>INSTRUMENTOS FINANCIEROS BÁSICOS:</t>
  </si>
  <si>
    <t xml:space="preserve">Sección 11  </t>
  </si>
  <si>
    <t>Es un préstamo a largo plazo a un tercero por venta de un activo cuya tasa de interés anual del 0% es menor a la tasa normal de mercado.</t>
  </si>
  <si>
    <t>Fecha del préstamo</t>
  </si>
  <si>
    <t>Cuotas anuales iguales</t>
  </si>
  <si>
    <t>Saldo del préstamo</t>
  </si>
  <si>
    <t>Saldo 31 de diciembre de 2014</t>
  </si>
  <si>
    <t>Valoración a partir del año 2015:</t>
  </si>
  <si>
    <t>Sección 11   - Deterioro de valor de instrumentos financieros</t>
  </si>
  <si>
    <t>Reconocimiento:</t>
  </si>
  <si>
    <t>Para los activos financieros valorados al costo (deudores) o al costo amortizado se  evaluará si existe evidencia</t>
  </si>
  <si>
    <t xml:space="preserve">  objetiva de deterioro de valor de dichos activos. Si hay evidencia objetiva se proceder a reconocer la pérdida por</t>
  </si>
  <si>
    <t xml:space="preserve">  deterioro de valor</t>
  </si>
  <si>
    <t>Para los instrumentos medidos al costo amortizado, la pérdida será la diferencia entre el valor en libros del activo y</t>
  </si>
  <si>
    <t xml:space="preserve">  el valor presente de los flujos de efectivo futuros estimados, descontados a la tasa de interés efectivo original del</t>
  </si>
  <si>
    <t xml:space="preserve">  activo</t>
  </si>
  <si>
    <t>Los saldos de deudores se consideran al costo amortizado así no hayan sido descontados dado que por excepción</t>
  </si>
  <si>
    <t xml:space="preserve">  si son saldos corrientes se miden al valor no descontado de lo que se espera recibir</t>
  </si>
  <si>
    <t xml:space="preserve">  ii) el valor esperado a recibir y iii) fecha esperada de pago</t>
  </si>
  <si>
    <t xml:space="preserve">Se debe realizar un estudio individual para determinar si hay evidencia objetiva de deterioro de valor de los saldos. </t>
  </si>
  <si>
    <t>Para aquellos saldos donde se detectó que hay evidencia objetiva de deterioro de valor, se determinó:  i) probabilidad de pago,</t>
  </si>
  <si>
    <t>El deterioro de valor será la diferencia entre el valor en libros y el valor presente de los flujos futuros esperados</t>
  </si>
  <si>
    <t>1. Análisis de la existencia de evidencia objetiva de deterioro de valor:</t>
  </si>
  <si>
    <t>Para cada cliente se estudiaron los aspectos indicados en la sección 11 p. 11.22 y el resultado fue:</t>
  </si>
  <si>
    <t>1.1. Se encontraron saldos individuales recuperables en su totalidad por valor de</t>
  </si>
  <si>
    <t>2. Medición del deterioro de valor:</t>
  </si>
  <si>
    <t>1.2. Se encontraron saldos individuales con evidencia objetiva de deterioro por</t>
  </si>
  <si>
    <t>Para los saldos indicados en el numeral 1.2. se cálculo el deterioro de la siguiente manera:</t>
  </si>
  <si>
    <t>2.1. Saldos totalmente perdidos:</t>
  </si>
  <si>
    <t>Valoración:</t>
  </si>
  <si>
    <t>Es innecesario dado que los saldos están perdidos en su totalidad</t>
  </si>
  <si>
    <t>Valor a provisionar</t>
  </si>
  <si>
    <t>2.2. Saldo con problemas pero recuperables:</t>
  </si>
  <si>
    <t>Valor esperado a recibir</t>
  </si>
  <si>
    <t>Recuperables</t>
  </si>
  <si>
    <t>Valor de la deuda</t>
  </si>
  <si>
    <t>Probabilidad de pago</t>
  </si>
  <si>
    <t>Tiempo esperado para el pago meses</t>
  </si>
  <si>
    <t>Tasa de interés efectivo original</t>
  </si>
  <si>
    <t>Saldo en libros</t>
  </si>
  <si>
    <t>Provisión bajo NIIF Pymes</t>
  </si>
  <si>
    <t>3. Ajuste para NIIF Pymes:</t>
  </si>
  <si>
    <t>9. Valoración de préstamo a empleado</t>
  </si>
  <si>
    <t>11. Ajuste por deterioro (provisión) para cuentas por cobrar</t>
  </si>
  <si>
    <t>INVENTARIOS</t>
  </si>
  <si>
    <t>Sección 2 (reconocimiento de activos) y Sección 13 (Inventarios)</t>
  </si>
  <si>
    <t>Se reconocen cuando satisface la definición de activo (recurso controlado, de sucesos pasados del que se espera</t>
  </si>
  <si>
    <t xml:space="preserve">  obtener beneficios económicos futuros); cuando sea probable que se obtenfan los beneficios económicos futuros</t>
  </si>
  <si>
    <t xml:space="preserve">  y el activo tenga un costo medible</t>
  </si>
  <si>
    <t>Se miden al menor entre el costo y el precio de venta estimado menos los costos (gastos) de terminación y venta</t>
  </si>
  <si>
    <t>El costo incluye costo de compra, costos de transformación y otros necesario para darle la condición y ubicación</t>
  </si>
  <si>
    <t xml:space="preserve">  actual</t>
  </si>
  <si>
    <t>El costo de compra es el precio de compra acordado, aranceles, impuestos no recuperables,  transportes y otros</t>
  </si>
  <si>
    <t xml:space="preserve">  directamente asignables a la compra; los descuentos, rebajas y similares se deducen del costo</t>
  </si>
  <si>
    <t>La diferencia entre el precio de compra en plazo normal con respecto al valor a pagar con plazo se trata como un</t>
  </si>
  <si>
    <t xml:space="preserve">  gasto por intereses en el plazo de financiación</t>
  </si>
  <si>
    <t>Se reconoce al contado (término normal)</t>
  </si>
  <si>
    <t>Saldo bajo NIIF Pymes:</t>
  </si>
  <si>
    <t>Ajuste para NIIF Pymes</t>
  </si>
  <si>
    <t>12. Ajuste en valoración de inventario en tránsito comprado:</t>
  </si>
  <si>
    <t>Mercancias compradas en tránsito</t>
  </si>
  <si>
    <t>Mercancías enviadas a sus propios almacenes</t>
  </si>
  <si>
    <t>Total saldo local</t>
  </si>
  <si>
    <t>13. Ajuste en valoración de inventario en tránsito hacia los almacenes</t>
  </si>
  <si>
    <t>Saldo inventario tránsito bajo NIIF Pymes:</t>
  </si>
  <si>
    <t xml:space="preserve">Total saldo </t>
  </si>
  <si>
    <t>Menor valor del costo de compra del inventario</t>
  </si>
  <si>
    <t>Saldo NIIF Pymes</t>
  </si>
  <si>
    <t>14. Ajuste en valoración de mercancias:</t>
  </si>
  <si>
    <t>Los inventarios se miden al menor entre el costo y el precio de venta estimado menos los costos (gastos) de terminación y venta</t>
  </si>
  <si>
    <t>Sección 13 (Inventarios) y Sección 27 (Deterioro de valor de los activos)</t>
  </si>
  <si>
    <t>Deterioro de valor:</t>
  </si>
  <si>
    <t>Se deberá comparar el valor en libros con su precio de venta menos los costos de terminación y menos los gastos de venta</t>
  </si>
  <si>
    <t>Si el valor en libros es mayor, se debe  reducir (ajustar) dicho valor a su precio de venta menos costos  de terminación y menos</t>
  </si>
  <si>
    <t xml:space="preserve">  gastos de venta</t>
  </si>
  <si>
    <t>Del análisis realizado se detectó que hay dos referencia con problemas de lento movimiento y deterioro de valor</t>
  </si>
  <si>
    <t xml:space="preserve">  siguiente detalle:</t>
  </si>
  <si>
    <t>El cálculo se realiza para todos los items de inventario y solo en estas dos referencia el valor en libros era mayor según el</t>
  </si>
  <si>
    <t>Referencia</t>
  </si>
  <si>
    <t>Costo total</t>
  </si>
  <si>
    <t>Precio de venta</t>
  </si>
  <si>
    <t>Costo unitario (1)</t>
  </si>
  <si>
    <t>(1) Por efectos prácticos se toma el saldo local; sin embargo el cálculo siempre debe ser realizado sobre la base de los costos unitarios NIIF</t>
  </si>
  <si>
    <t>VNR(2)</t>
  </si>
  <si>
    <t>VNR Total</t>
  </si>
  <si>
    <t>Pérdida (3)</t>
  </si>
  <si>
    <t>(3) Es el valor que debe ser ajustado el inventarios para dejar el menor de los dos valores</t>
  </si>
  <si>
    <t>De otro lado, se debe eliminar la provisión local dado que las pérdidas de valor de inventarios quedan incorporadas en la valoración realizada</t>
  </si>
  <si>
    <t>Ajustes para llevar a NIIF por deterioro de valor de inventarios:</t>
  </si>
  <si>
    <t>Ajustes para llevar a NIIF por eliminación de la provisión local de inventarios:</t>
  </si>
  <si>
    <t>(2) En la NIIF Pymes no se denomina valor neto ralizable (VNR) sino precio de venta menos costos de tranformación menos gastos de venta (deterioro de valor del inventario)</t>
  </si>
  <si>
    <t>15. Ajuste por deterioro de valor de inventarios:</t>
  </si>
  <si>
    <t>16. Elimina la provisón para inventarios</t>
  </si>
  <si>
    <t>Ajuste inventarios por deterioro de valor</t>
  </si>
  <si>
    <t>Sección 31 (hiperinflación)</t>
  </si>
  <si>
    <t>Se ajustan por inflación los estados financieros de una entidad cuya moneda funcional sea la de una economía hiperinflacionaria</t>
  </si>
  <si>
    <t>Los AXI de este rubro de inventarios no es aplicable por no cumplir los requisitos de la sección 31; por lo tanto se eliminan</t>
  </si>
  <si>
    <t>17. Elimina AXI En inventarios</t>
  </si>
  <si>
    <t xml:space="preserve">Se hará uso de la excepción de tratar como costo atribuido en la conversión inicial el </t>
  </si>
  <si>
    <r>
      <rPr>
        <b/>
        <sz val="11"/>
        <color indexed="8"/>
        <rFont val="Calibri"/>
        <family val="2"/>
      </rPr>
      <t>Base:</t>
    </r>
    <r>
      <rPr>
        <sz val="11"/>
        <color theme="1"/>
        <rFont val="Calibri"/>
        <family val="2"/>
      </rPr>
      <t xml:space="preserve"> </t>
    </r>
  </si>
  <si>
    <t>1. Detalle de las propiedades,  planta y equipo</t>
  </si>
  <si>
    <t>2. Detalle de los inmuebles:</t>
  </si>
  <si>
    <t>3. Valor razonable determinado a la fecha de transición:</t>
  </si>
  <si>
    <t>Sin destinación aún</t>
  </si>
  <si>
    <t xml:space="preserve">  y Sección 35 (Transición a las NIIF para las Pymes)</t>
  </si>
  <si>
    <t xml:space="preserve">Sección 17 ( propiedades, planta y equipo), Sección 16 (Propiedades de inversión), Sección 27 (deterioro del valor de los activo) </t>
  </si>
  <si>
    <t>Presentación</t>
  </si>
  <si>
    <t xml:space="preserve">   Terreno sin destinación aún</t>
  </si>
  <si>
    <t xml:space="preserve">    Terreno del inmuebl en arriendo</t>
  </si>
  <si>
    <t>Débito</t>
  </si>
  <si>
    <t>Crédito</t>
  </si>
  <si>
    <t>Dr. Propiedades, planta y equipo - Terrenos</t>
  </si>
  <si>
    <t>Cr. Propiedades, planta y equipo - Terrenos</t>
  </si>
  <si>
    <t>18. Valoración y reclasificación de los terrenos:</t>
  </si>
  <si>
    <t>Dr. Propiedades de inversión - terrenos</t>
  </si>
  <si>
    <t>Dr. Propiedades, planta y equipo -Terrenos</t>
  </si>
  <si>
    <t>Cr. Propiedades, planta y equipo- Terrenos</t>
  </si>
  <si>
    <t>2. Análisis de los terrenos:</t>
  </si>
  <si>
    <t>Cr. Propiedades, planta y equipo - Edificaciones</t>
  </si>
  <si>
    <t>Dr. Propiedades, planta y equipo - Edificaciones</t>
  </si>
  <si>
    <t>19. Valoración y reclasificación de los edificios</t>
  </si>
  <si>
    <t>Revaluación de terrenos</t>
  </si>
  <si>
    <t>Revaluación de edificios</t>
  </si>
  <si>
    <t>4. Eliminación de la provisión para terrenos:</t>
  </si>
  <si>
    <t>Al quedar los terreno valorados al valor razonable que es superior al valor en libros local antes de la provisión, la misma debe ser eliminada</t>
  </si>
  <si>
    <t>20. Eliminación de la provisión para terrenos</t>
  </si>
  <si>
    <t>1 octubre de 2012</t>
  </si>
  <si>
    <t>Meses transcurridos desde la compra</t>
  </si>
  <si>
    <t>Debería ser eliminada por no cumplir requisitos de la Sección 17, pero al valorar el activo a valor razonable se hace innecesario</t>
  </si>
  <si>
    <t>Vida remanente</t>
  </si>
  <si>
    <t>Revaluación de maquinaria</t>
  </si>
  <si>
    <t>No hay pérdida de valor a ser reconocida, dado que el valor de uso por $ 67,830 es mayor que el valor razonable</t>
  </si>
  <si>
    <t>2. Datos de la maquinaria:</t>
  </si>
  <si>
    <t>3. Ajuste para llevar a NIIF:</t>
  </si>
  <si>
    <t>4. Ajuste de conversión:</t>
  </si>
  <si>
    <t>5. Cálculo del valor de uso de la maquinaria para determinar el valor recuperable</t>
  </si>
  <si>
    <t>5.1. Valor de uso</t>
  </si>
  <si>
    <t>PROPIEDADES, PLANTA Y EQUIPO - MAQUINARIA</t>
  </si>
  <si>
    <t>Los AXI de este rubro no es aplicable por no cumplir los requisitos de la sección 31; por lo tanto se eliminan</t>
  </si>
  <si>
    <t xml:space="preserve">  como no hiperinflacionaria; además, queda el activo valorado a valor razonable</t>
  </si>
  <si>
    <t>1. INVERSIONES REALIZADAS EN LA CONSTRUCCIÓN EN CURSO</t>
  </si>
  <si>
    <t>Valor cargado</t>
  </si>
  <si>
    <t>MO</t>
  </si>
  <si>
    <t>Otros</t>
  </si>
  <si>
    <t>Junio</t>
  </si>
  <si>
    <t>Julio</t>
  </si>
  <si>
    <t>Agosto</t>
  </si>
  <si>
    <t>Septiembre</t>
  </si>
  <si>
    <t>Octubre</t>
  </si>
  <si>
    <t>Noviembre</t>
  </si>
  <si>
    <t>Diciembre</t>
  </si>
  <si>
    <t>Cr. Construcción en curso</t>
  </si>
  <si>
    <t>PROPIEDADES, PLANTA Y EQUIPO - CONSTRUCCIONES EN CURSO</t>
  </si>
  <si>
    <t>Sección 17 ( propiedades, planta y equipo), Sección 25 (costos por préstamos)</t>
  </si>
  <si>
    <t>No se permite capitalizar intereses</t>
  </si>
  <si>
    <t>Intereres</t>
  </si>
  <si>
    <t>De acuerdo con las NIIF Pymes  no se permite capitalizar costos por préstamos (intereses) a los activos; por tanto se debe eliminar</t>
  </si>
  <si>
    <t xml:space="preserve">  lo capitalizado. Las demás partidas cumplen los requisitos para ser parte del costo de la construcción</t>
  </si>
  <si>
    <t>Eliminación de costos financieros capitalizados a construcción</t>
  </si>
  <si>
    <t>Sección 18 (activos intangibles distintos de la plusvalía) y sección 2 (Conceptos y principios generales)</t>
  </si>
  <si>
    <t>Los desembolsos de investigación y desarrollo son gastos, así como los generados internamente, las actividades formativas,</t>
  </si>
  <si>
    <t xml:space="preserve">  la publicidad y otras actividades promocionales, las gastos de inicio (preoperativos))</t>
  </si>
  <si>
    <t>1. Detalle del saldo local:</t>
  </si>
  <si>
    <t>Por ser un activo adquirido en forma independiente el criterio de reconocimiento basado en la probabilidad de los</t>
  </si>
  <si>
    <t xml:space="preserve">  beneficios económicos se considera satisfecha sin realizar comprobaciones adicionales. Por tanto, se mantiene</t>
  </si>
  <si>
    <t xml:space="preserve">  como activo en la medida en que se esté usando en las actividades de la empresa</t>
  </si>
  <si>
    <t>Dado que el activo se estaba amortizando en cinco años, de los cuales han pasado dos y le faltaban tres pero que ahora solo le faltan dos años, se considera que será un cambio</t>
  </si>
  <si>
    <t xml:space="preserve">  en un estimado contable decidido en la fecha de transición y por tanto tendrá efecto prospectivo y no genera ajustes a la fecha del ESFA (Estado de situación financiera de apertura)</t>
  </si>
  <si>
    <t>No hay ajustes al software</t>
  </si>
  <si>
    <t>Eliminación de preoperativos</t>
  </si>
  <si>
    <t>Eliminación de publicidad activada</t>
  </si>
  <si>
    <t>Eliminación de entrenamiento activado</t>
  </si>
  <si>
    <t>Ajuste deterioro de valor marca</t>
  </si>
  <si>
    <t>Eliminación de AXI en diferidos</t>
  </si>
  <si>
    <t>PROPIEDADES, PLANTA Y EQUIPO - MEJORAS EN PROPIEDADES AJENAS</t>
  </si>
  <si>
    <t>Sección 17 ( propiedades, planta y equipo)</t>
  </si>
  <si>
    <t>Son activos tangibles que se mantienen para su uso en la producción o suministro de bienes y servicios, para</t>
  </si>
  <si>
    <t xml:space="preserve">   arrendarlos a terceros o con propósitos administrativos y que se espera usar más de un período</t>
  </si>
  <si>
    <t>Tratamiento contable</t>
  </si>
  <si>
    <t>Se recalcula</t>
  </si>
  <si>
    <t>Se eliminan partidas que no cumplen para su capitalización:</t>
  </si>
  <si>
    <t>2. Recálculo de la amortización acumulada bajo NIIF Pymes:</t>
  </si>
  <si>
    <t>Base de la amortización bajo NIIF Pymes:</t>
  </si>
  <si>
    <t>No de años a amortizar bajo NIIF Pymes</t>
  </si>
  <si>
    <t>Amortización acumulada NIIF 31 DIC 2014 NIIF Pymes</t>
  </si>
  <si>
    <t>Ajuste de conversión por recálculo de la amortización mejoras en propiedades ajenas:</t>
  </si>
  <si>
    <t>El costo del activo incluye los costos de desmantelamiento o retiro del elemento</t>
  </si>
  <si>
    <t>Costo adicionar al activo</t>
  </si>
  <si>
    <t>Ajuste de conversión - traslado a PPE:</t>
  </si>
  <si>
    <t>Dr. Mejoras en propiedades ajenas</t>
  </si>
  <si>
    <t xml:space="preserve">  Mejoras en propiedad ajena</t>
  </si>
  <si>
    <t>INSTRUMENTOS FINANCIEROS BÁSICOS - INVERSIONES PERMANENTES</t>
  </si>
  <si>
    <t>Sección 11 y Sección 12 (Inversiones patrimoniales diferentes de acciones ordinarias sin opción de venta y acciones preferentes no convertibles)</t>
  </si>
  <si>
    <t>El reconocimiento inicial se hará al costo de la transacción. Las inversiones patrimoniales que no cotizan en bolsa se miden al costo menos deterioro de valor</t>
  </si>
  <si>
    <t>Son inversiones en acciones y en sociedad limitada que no cotizan en bolsa de valores; por lo tanto quedan valoradas al costo</t>
  </si>
  <si>
    <t>1. Detalle de las inversiones PCGA local:</t>
  </si>
  <si>
    <t>Están al costo</t>
  </si>
  <si>
    <t>Se mantiene el valor local por ser el costo original y dado que no cotizan en bolsa de valores</t>
  </si>
  <si>
    <t>5. Se eliminan los ajustes por inflación:</t>
  </si>
  <si>
    <t>3.  Inversiones en limitadas:</t>
  </si>
  <si>
    <t>4. Otras inversiones en acciones:</t>
  </si>
  <si>
    <t>Cr. Inversiones permamentes</t>
  </si>
  <si>
    <t>AXI</t>
  </si>
  <si>
    <t>6. Se eliminan las valorizaciones de inversiones dado que quedan al costo:</t>
  </si>
  <si>
    <t>Dr. Superavit por valorizaciones</t>
  </si>
  <si>
    <t>Cr. Valorizaciones</t>
  </si>
  <si>
    <t>5. Se eliminan las valorizaciones de inmuebles al quedar valorados al valor razonable:</t>
  </si>
  <si>
    <t>21. Se eliminan las valorizaciones de inmuebles al quedar valorados al valor razonable:</t>
  </si>
  <si>
    <t>22. Valoración de maquinaria</t>
  </si>
  <si>
    <t>23. Se eliminan las valorizaciones de maquinaria al quedar valorada al valor razonable:</t>
  </si>
  <si>
    <t>6. Se eliminan las valorizaciones de la maquinaaria  al quedar valorada al valor razonable:</t>
  </si>
  <si>
    <t>24. Eliminación de AXI en PPE</t>
  </si>
  <si>
    <t>25. Elimina costos financieros capitalizados a la construcción en curso</t>
  </si>
  <si>
    <t>26. Eliminación de  preoperativos activados</t>
  </si>
  <si>
    <t>27. Eliminación de  publicidad activada</t>
  </si>
  <si>
    <t>28. Eliminación de  erogaciones por entrenamiento activadas</t>
  </si>
  <si>
    <t>29. Ajuste por deterioro de valor de marca comprada</t>
  </si>
  <si>
    <t>30. Elimina AXI en diferidos</t>
  </si>
  <si>
    <t>31. Se elimina patidas capitalizadas a mejoras en propiedades ajenas que no cumplen para ser activo:</t>
  </si>
  <si>
    <t>32. Ajuste de conversión por recálculo de la amortización mejoras en propiedades ajenas:</t>
  </si>
  <si>
    <t>33. Ajuste por cálculo de los pasivos por retiro de servicios incluidos en costo de mejoras en propiedades ajenas:</t>
  </si>
  <si>
    <t>34. Traslado de mejoras en propiedades ajenas a PPE:</t>
  </si>
  <si>
    <t>35. Elimina AXI de inversiones permanentes:</t>
  </si>
  <si>
    <t>36. Se eliminan las valorizaciones de inversiones dado que quedan al costo:</t>
  </si>
  <si>
    <t>Ajuste por recálculo de la amortización de mejoras ajenas</t>
  </si>
  <si>
    <t>Elimina AXI de inversiones permanentes</t>
  </si>
  <si>
    <t>7. Ss traslada al nombre corresponidiente de instrumentos financieros al costo</t>
  </si>
  <si>
    <t xml:space="preserve">   Al costo</t>
  </si>
  <si>
    <t xml:space="preserve"> Al costo</t>
  </si>
  <si>
    <t>Aportes en limitada</t>
  </si>
  <si>
    <t>37. Se traslada al nombre corresponidiente de instrumentos financieros al costo</t>
  </si>
  <si>
    <t>INSTRUMENTOS FINANCIEROS BÁSICOS - OBLIGACIONES FINANCIERAS</t>
  </si>
  <si>
    <t>En el reconocimiento inicial se miden al precio de la operación considerando los costos de la transacción y en la</t>
  </si>
  <si>
    <t xml:space="preserve">  medición posterior se valoran al costo amortizado que tiene en cuenta la tasa de interés efectiva</t>
  </si>
  <si>
    <t>Se debe proceder al recálculo de la deuda considerando los costos de la transacción como menor valor del pasivo</t>
  </si>
  <si>
    <t xml:space="preserve">  para efectos de hallar la tasa de interés efectiva</t>
  </si>
  <si>
    <t>Los costos de financiación se reconocen en resultados</t>
  </si>
  <si>
    <t>Financia la construcción del centro comercial en un 60% y el otro 40% se financia con recursos propios: sin embargo, NIIF Pymes no permite capitalizar costos financieros</t>
  </si>
  <si>
    <t>2.1. Hallar el costo original:</t>
  </si>
  <si>
    <t>Valor préstamo recibido</t>
  </si>
  <si>
    <t>Menos costo de la transacción</t>
  </si>
  <si>
    <t>Neto inicial</t>
  </si>
  <si>
    <t>Período</t>
  </si>
  <si>
    <t>2.2. Hallar los Flujos de la deuda:</t>
  </si>
  <si>
    <t>2.3. Hallar la TIR</t>
  </si>
  <si>
    <t>2.4. Tabla de valoración de la deuda (recálculo de la valoración de la deuda):</t>
  </si>
  <si>
    <t>Los intereses causados se presentan como mayor valor de la deuda</t>
  </si>
  <si>
    <t>Dr. Intereses x pagar</t>
  </si>
  <si>
    <t>DR. Obligaciones financieras</t>
  </si>
  <si>
    <t>BENEFICIOS A LOS EMPLEADOS</t>
  </si>
  <si>
    <t>Sección 28</t>
  </si>
  <si>
    <t>Los beneficios de largo plazo se miden por el valor presente de las obligaciones en la fecha en que se informa</t>
  </si>
  <si>
    <t>Dado que existe un bono cuando se cumpla cinco años de servicio, corresponde a un beneficio de largo plazo,</t>
  </si>
  <si>
    <t xml:space="preserve">  se debe proceder al cálculo del pasivo considerando la proyección del salario, el beneficio esperado, la tasa de</t>
  </si>
  <si>
    <t xml:space="preserve">   descuento y el tiempo transcurrido</t>
  </si>
  <si>
    <t>1. Datos:</t>
  </si>
  <si>
    <t>Salario actual</t>
  </si>
  <si>
    <t>Años pendientes para obtener el beneficio</t>
  </si>
  <si>
    <t>2. Cálculo de los salarios esperado en la fecha de pago del beneficio:</t>
  </si>
  <si>
    <t>Salario  futuro</t>
  </si>
  <si>
    <t>Tasa crecimiento salario</t>
  </si>
  <si>
    <t>Años a proyectar</t>
  </si>
  <si>
    <t>3. Cálculo de la prima esperada en el futuro:</t>
  </si>
  <si>
    <t>Salario futuro</t>
  </si>
  <si>
    <t>Prima esperada</t>
  </si>
  <si>
    <t>4. Cálculo del valor presente de la prima completa (al 31 de diciembre de 2014):</t>
  </si>
  <si>
    <t>5. Cálculo del pasivo incurrido al 31 de diciembre de 2014:</t>
  </si>
  <si>
    <t>Valor actual de la totalidad de la obligación</t>
  </si>
  <si>
    <t>No. de años para obtener la prima</t>
  </si>
  <si>
    <t>No. de años transcurridos al 31 diciembre de 2014</t>
  </si>
  <si>
    <t>Valor del pasivo al 31 de diciembre de 2014</t>
  </si>
  <si>
    <t>6. Ajuste para NIIF Pymes:</t>
  </si>
  <si>
    <t>Dr. Ganancias Retenidas</t>
  </si>
  <si>
    <t>Cr. Pasivos laborales</t>
  </si>
  <si>
    <t>38. Ajuste valoración de las obligaciones financieras:</t>
  </si>
  <si>
    <t>39. Ajuste valoración prima de antigüedad</t>
  </si>
  <si>
    <t>Sección 21 (Provisiones y contingencias) y sección 35 (Transición a la NIIF para las Pymes)</t>
  </si>
  <si>
    <t>No cambiará la estimaciones realizadas bajo el marco contable anterior</t>
  </si>
  <si>
    <t>Se reconoce una provisión cuando se tenga una obligación presente, sea probable la salida de recursos y el valor</t>
  </si>
  <si>
    <t xml:space="preserve">  pueda ser estimado confiablemente.</t>
  </si>
  <si>
    <t>No se pueden reconocer provisiones para eventos que no han ocurrido o que corresponden al futuro</t>
  </si>
  <si>
    <t>Se incluyen provisiones para gastos futuros por $ 1.300 que debe ser eliminada. Se traslada a pasivos con acreedores la provisión</t>
  </si>
  <si>
    <t xml:space="preserve">  de gastos incurridos por $ 6.700 y se mantiene la estimación de las contingencias de pérdida probable y cuatificables</t>
  </si>
  <si>
    <t>4. Se mantiene la provisión para contingencias por ser probable y cuantificable pero se redenomina:</t>
  </si>
  <si>
    <t>Dr. Provisiones para contingencias</t>
  </si>
  <si>
    <t>Cr. Provisiones</t>
  </si>
  <si>
    <t>40. Traslado de provisiones para gastos a pasivos reales</t>
  </si>
  <si>
    <t>41. Elimina provisión para gastos futuros</t>
  </si>
  <si>
    <t>42. Se redenomina el concepto de provisión para contingencias de pérdida probable y cuantificable:</t>
  </si>
  <si>
    <t>Elimina provisiones para gastos no incurridos</t>
  </si>
  <si>
    <t>CUENTAS POR PAGAR LARGO PLAZO - INSTRUMENTOS FINANCIEROS BÁSICOS</t>
  </si>
  <si>
    <t>2. Determinación de los flujos:</t>
  </si>
  <si>
    <t>Períodos</t>
  </si>
  <si>
    <t>43. Ajuste valoración de CXP largo plazo</t>
  </si>
  <si>
    <t xml:space="preserve">ARRENDAMIENTOS </t>
  </si>
  <si>
    <t>Sección 20</t>
  </si>
  <si>
    <t>Inmueble</t>
  </si>
  <si>
    <t>Fechas</t>
  </si>
  <si>
    <t>Depreciación al 31 de dic 2014</t>
  </si>
  <si>
    <t>6 meses</t>
  </si>
  <si>
    <t>44. Reconoce en activos y pasivos contrato de arriendo financiero</t>
  </si>
  <si>
    <t>45. Depreciación del activo en arriendo financiero</t>
  </si>
  <si>
    <t>SUPERAVIT METODO DE PARTICIPACIÓN</t>
  </si>
  <si>
    <t>Existe este saldo que es un error dado que no existen inversiones en asociadas, controladas ni negocios conjuntos</t>
  </si>
  <si>
    <t>Por tanto, se debe ajustar</t>
  </si>
  <si>
    <t>Dr. Superavit método de participación</t>
  </si>
  <si>
    <t>46. Elimina saldo en patrimonio no real</t>
  </si>
  <si>
    <t>47. IMPUESTO DIFERIDO</t>
  </si>
  <si>
    <t>Elimina saldo en superavit por MPP</t>
  </si>
  <si>
    <t>CONCILIACIÓN DEL PATRIMONIO LOCAL VS. PATRIMONIO NIIF:</t>
  </si>
  <si>
    <t>Patrimonio local</t>
  </si>
  <si>
    <t>Elimina superavit por valorizaciones</t>
  </si>
  <si>
    <t>Patrimonio NIIF Pymes</t>
  </si>
  <si>
    <t>Ganancias retenidas por conversión a NIIF Pymes</t>
  </si>
  <si>
    <t>Detalle de las ganancias retenidas por conversión a NIIF Pymes:</t>
  </si>
  <si>
    <t>10. Valoración de otros deudores LP</t>
  </si>
  <si>
    <t>Enero</t>
  </si>
  <si>
    <t>Febrero</t>
  </si>
  <si>
    <t>Marzo</t>
  </si>
  <si>
    <t>Abril</t>
  </si>
  <si>
    <t>Mayo</t>
  </si>
  <si>
    <t>DR.IF</t>
  </si>
  <si>
    <t>A CA</t>
  </si>
  <si>
    <t>CR. INGRESOS FINANCIEROS</t>
  </si>
  <si>
    <t>Rendimientos CDT</t>
  </si>
  <si>
    <t>&lt;</t>
  </si>
  <si>
    <t>VF</t>
  </si>
  <si>
    <t>PI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</si>
</sst>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[$-240A]dddd\,\ dd&quot; de &quot;mmmm&quot; de &quot;yyyy"/>
    <numFmt numFmtId="178" formatCode="0.0%"/>
    <numFmt numFmtId="179" formatCode="0.000%"/>
    <numFmt numFmtId="180" formatCode="0.0000%"/>
    <numFmt numFmtId="181" formatCode="_(* #,##0.0000_);_(* \(#,##0.0000\);_(* &quot;-&quot;????_);_(@_)"/>
    <numFmt numFmtId="182" formatCode="0.00000%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_-* #,##0.0000_-;\-* #,##0.0000_-;_-* &quot;-&quot;????_-;_-@_-"/>
    <numFmt numFmtId="191" formatCode="mmm\-yyyy"/>
    <numFmt numFmtId="192" formatCode="&quot;$&quot;\ #,##0.0_);[Red]\(&quot;$&quot;\ 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Accounting"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Accounting"/>
      <sz val="1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172" fontId="0" fillId="0" borderId="0" xfId="49" applyNumberFormat="1" applyFont="1" applyAlignment="1">
      <alignment/>
    </xf>
    <xf numFmtId="172" fontId="46" fillId="0" borderId="0" xfId="49" applyNumberFormat="1" applyFont="1" applyAlignment="1">
      <alignment/>
    </xf>
    <xf numFmtId="172" fontId="47" fillId="0" borderId="0" xfId="49" applyNumberFormat="1" applyFont="1" applyAlignment="1">
      <alignment/>
    </xf>
    <xf numFmtId="172" fontId="47" fillId="0" borderId="0" xfId="49" applyNumberFormat="1" applyFont="1" applyAlignment="1">
      <alignment horizontal="center"/>
    </xf>
    <xf numFmtId="172" fontId="48" fillId="0" borderId="0" xfId="49" applyNumberFormat="1" applyFont="1" applyAlignment="1">
      <alignment/>
    </xf>
    <xf numFmtId="172" fontId="48" fillId="0" borderId="0" xfId="49" applyNumberFormat="1" applyFont="1" applyAlignment="1">
      <alignment horizontal="right"/>
    </xf>
    <xf numFmtId="172" fontId="49" fillId="0" borderId="0" xfId="49" applyNumberFormat="1" applyFont="1" applyAlignment="1">
      <alignment/>
    </xf>
    <xf numFmtId="172" fontId="49" fillId="0" borderId="0" xfId="49" applyNumberFormat="1" applyFont="1" applyAlignment="1">
      <alignment horizontal="right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2" fontId="48" fillId="0" borderId="0" xfId="49" applyNumberFormat="1" applyFont="1" applyFill="1" applyAlignment="1">
      <alignment/>
    </xf>
    <xf numFmtId="172" fontId="48" fillId="0" borderId="0" xfId="49" applyNumberFormat="1" applyFont="1" applyFill="1" applyAlignment="1">
      <alignment horizontal="right"/>
    </xf>
    <xf numFmtId="0" fontId="49" fillId="0" borderId="0" xfId="0" applyFont="1" applyFill="1" applyAlignment="1">
      <alignment/>
    </xf>
    <xf numFmtId="172" fontId="49" fillId="0" borderId="0" xfId="49" applyNumberFormat="1" applyFont="1" applyFill="1" applyAlignment="1">
      <alignment horizontal="right"/>
    </xf>
    <xf numFmtId="3" fontId="48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172" fontId="45" fillId="0" borderId="10" xfId="49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47" fillId="0" borderId="0" xfId="49" applyNumberFormat="1" applyFont="1" applyFill="1" applyAlignment="1">
      <alignment/>
    </xf>
    <xf numFmtId="172" fontId="47" fillId="0" borderId="0" xfId="49" applyNumberFormat="1" applyFont="1" applyFill="1" applyAlignment="1">
      <alignment horizontal="center"/>
    </xf>
    <xf numFmtId="172" fontId="49" fillId="0" borderId="0" xfId="49" applyNumberFormat="1" applyFont="1" applyFill="1" applyAlignment="1">
      <alignment/>
    </xf>
    <xf numFmtId="172" fontId="45" fillId="0" borderId="0" xfId="49" applyNumberFormat="1" applyFont="1" applyFill="1" applyAlignment="1">
      <alignment/>
    </xf>
    <xf numFmtId="172" fontId="46" fillId="0" borderId="0" xfId="49" applyNumberFormat="1" applyFont="1" applyAlignment="1">
      <alignment/>
    </xf>
    <xf numFmtId="9" fontId="0" fillId="0" borderId="0" xfId="0" applyNumberFormat="1" applyFill="1" applyAlignment="1">
      <alignment/>
    </xf>
    <xf numFmtId="178" fontId="0" fillId="0" borderId="0" xfId="55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72" fontId="51" fillId="0" borderId="0" xfId="49" applyNumberFormat="1" applyFont="1" applyFill="1" applyAlignment="1">
      <alignment/>
    </xf>
    <xf numFmtId="172" fontId="45" fillId="0" borderId="10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171" fontId="0" fillId="0" borderId="0" xfId="49" applyFont="1" applyFill="1" applyAlignment="1">
      <alignment/>
    </xf>
    <xf numFmtId="171" fontId="0" fillId="0" borderId="0" xfId="0" applyNumberFormat="1" applyFill="1" applyAlignment="1">
      <alignment/>
    </xf>
    <xf numFmtId="3" fontId="4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176" fontId="0" fillId="0" borderId="0" xfId="49" applyNumberFormat="1" applyFont="1" applyFill="1" applyAlignment="1">
      <alignment/>
    </xf>
    <xf numFmtId="172" fontId="0" fillId="0" borderId="0" xfId="49" applyNumberFormat="1" applyFont="1" applyFill="1" applyAlignment="1">
      <alignment/>
    </xf>
    <xf numFmtId="172" fontId="46" fillId="0" borderId="0" xfId="49" applyNumberFormat="1" applyFont="1" applyFill="1" applyAlignment="1">
      <alignment/>
    </xf>
    <xf numFmtId="172" fontId="45" fillId="0" borderId="0" xfId="49" applyNumberFormat="1" applyFont="1" applyFill="1" applyBorder="1" applyAlignment="1">
      <alignment/>
    </xf>
    <xf numFmtId="172" fontId="0" fillId="0" borderId="11" xfId="49" applyNumberFormat="1" applyFont="1" applyFill="1" applyBorder="1" applyAlignment="1">
      <alignment/>
    </xf>
    <xf numFmtId="15" fontId="0" fillId="0" borderId="0" xfId="0" applyNumberFormat="1" applyFill="1" applyAlignment="1">
      <alignment/>
    </xf>
    <xf numFmtId="172" fontId="45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72" fontId="0" fillId="0" borderId="0" xfId="49" applyNumberFormat="1" applyFont="1" applyFill="1" applyAlignment="1">
      <alignment/>
    </xf>
    <xf numFmtId="172" fontId="0" fillId="0" borderId="0" xfId="49" applyNumberFormat="1" applyFont="1" applyAlignment="1">
      <alignment/>
    </xf>
    <xf numFmtId="172" fontId="0" fillId="0" borderId="0" xfId="49" applyNumberFormat="1" applyFont="1" applyFill="1" applyAlignment="1">
      <alignment/>
    </xf>
    <xf numFmtId="172" fontId="46" fillId="0" borderId="0" xfId="49" applyNumberFormat="1" applyFont="1" applyFill="1" applyAlignment="1">
      <alignment/>
    </xf>
    <xf numFmtId="172" fontId="0" fillId="0" borderId="0" xfId="49" applyNumberFormat="1" applyFont="1" applyFill="1" applyAlignment="1">
      <alignment/>
    </xf>
    <xf numFmtId="172" fontId="48" fillId="0" borderId="0" xfId="49" applyNumberFormat="1" applyFont="1" applyFill="1" applyAlignment="1">
      <alignment horizontal="center"/>
    </xf>
    <xf numFmtId="179" fontId="0" fillId="0" borderId="0" xfId="55" applyNumberFormat="1" applyFont="1" applyFill="1" applyAlignment="1">
      <alignment/>
    </xf>
    <xf numFmtId="180" fontId="0" fillId="0" borderId="0" xfId="55" applyNumberFormat="1" applyFont="1" applyFill="1" applyAlignment="1">
      <alignment/>
    </xf>
    <xf numFmtId="172" fontId="0" fillId="0" borderId="0" xfId="49" applyNumberFormat="1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1" fontId="45" fillId="0" borderId="0" xfId="49" applyNumberFormat="1" applyFont="1" applyFill="1" applyAlignment="1">
      <alignment/>
    </xf>
    <xf numFmtId="14" fontId="0" fillId="0" borderId="0" xfId="49" applyNumberFormat="1" applyFont="1" applyFill="1" applyAlignment="1">
      <alignment/>
    </xf>
    <xf numFmtId="172" fontId="53" fillId="0" borderId="0" xfId="49" applyNumberFormat="1" applyFont="1" applyFill="1" applyAlignment="1">
      <alignment horizontal="center"/>
    </xf>
    <xf numFmtId="171" fontId="0" fillId="0" borderId="0" xfId="49" applyNumberFormat="1" applyFont="1" applyFill="1" applyAlignment="1">
      <alignment/>
    </xf>
    <xf numFmtId="172" fontId="45" fillId="0" borderId="0" xfId="49" applyNumberFormat="1" applyFont="1" applyFill="1" applyAlignment="1">
      <alignment horizontal="center"/>
    </xf>
    <xf numFmtId="172" fontId="0" fillId="0" borderId="0" xfId="49" applyNumberFormat="1" applyFont="1" applyFill="1" applyAlignment="1">
      <alignment/>
    </xf>
    <xf numFmtId="17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9" fontId="0" fillId="0" borderId="0" xfId="55" applyFont="1" applyFill="1" applyAlignment="1">
      <alignment/>
    </xf>
    <xf numFmtId="174" fontId="0" fillId="0" borderId="0" xfId="0" applyNumberFormat="1" applyFill="1" applyAlignment="1">
      <alignment/>
    </xf>
    <xf numFmtId="0" fontId="45" fillId="0" borderId="0" xfId="0" applyFont="1" applyAlignment="1">
      <alignment/>
    </xf>
    <xf numFmtId="172" fontId="0" fillId="0" borderId="0" xfId="49" applyNumberFormat="1" applyFont="1" applyAlignment="1">
      <alignment/>
    </xf>
    <xf numFmtId="172" fontId="0" fillId="0" borderId="0" xfId="49" applyNumberFormat="1" applyFont="1" applyFill="1" applyAlignment="1">
      <alignment/>
    </xf>
    <xf numFmtId="171" fontId="0" fillId="0" borderId="0" xfId="49" applyNumberFormat="1" applyFont="1" applyFill="1" applyAlignment="1">
      <alignment/>
    </xf>
    <xf numFmtId="4" fontId="45" fillId="0" borderId="10" xfId="0" applyNumberFormat="1" applyFont="1" applyFill="1" applyBorder="1" applyAlignment="1">
      <alignment/>
    </xf>
    <xf numFmtId="10" fontId="0" fillId="0" borderId="0" xfId="55" applyNumberFormat="1" applyFont="1" applyFill="1" applyAlignment="1">
      <alignment/>
    </xf>
    <xf numFmtId="172" fontId="51" fillId="0" borderId="0" xfId="49" applyNumberFormat="1" applyFont="1" applyFill="1" applyAlignment="1">
      <alignment horizontal="center"/>
    </xf>
    <xf numFmtId="172" fontId="0" fillId="0" borderId="0" xfId="49" applyNumberFormat="1" applyFont="1" applyFill="1" applyAlignment="1">
      <alignment/>
    </xf>
    <xf numFmtId="0" fontId="54" fillId="0" borderId="0" xfId="0" applyFont="1" applyFill="1" applyAlignment="1">
      <alignment/>
    </xf>
    <xf numFmtId="172" fontId="46" fillId="0" borderId="0" xfId="49" applyNumberFormat="1" applyFont="1" applyAlignment="1">
      <alignment/>
    </xf>
    <xf numFmtId="172" fontId="51" fillId="0" borderId="0" xfId="49" applyNumberFormat="1" applyFont="1" applyFill="1" applyAlignment="1">
      <alignment horizontal="center"/>
    </xf>
    <xf numFmtId="172" fontId="0" fillId="0" borderId="0" xfId="49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IPLOMADO%20Y%20CURSOS%20IFRS\CASOS%20PRACTICOS\CASO%20NIIF%201%20CONVERSION%20INICIAL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e local"/>
      <sheetName val="Ajustes NIIF"/>
      <sheetName val="Para tax diferido"/>
      <sheetName val="TES"/>
      <sheetName val="Bonos"/>
      <sheetName val="Deudores"/>
      <sheetName val="Anticipos"/>
      <sheetName val="Antici renta"/>
      <sheetName val="Prestamo LP"/>
      <sheetName val="Deuda LP"/>
      <sheetName val="Provision CXC"/>
      <sheetName val="MP"/>
      <sheetName val="PP - PT"/>
      <sheetName val="Transito"/>
      <sheetName val="Mcias"/>
      <sheetName val="VNR"/>
      <sheetName val="AXI Inv"/>
      <sheetName val="Diferido"/>
      <sheetName val="Mejoras PA"/>
      <sheetName val="PPE"/>
      <sheetName val="Hoja trabajo"/>
      <sheetName val="Inmuebles"/>
      <sheetName val="Maquina"/>
      <sheetName val="AXI PPE"/>
      <sheetName val="CC"/>
      <sheetName val="Inver Ptes"/>
      <sheetName val="Valori"/>
      <sheetName val="Oblig Fcieras"/>
      <sheetName val="Prove y acrr"/>
      <sheetName val="Provis"/>
      <sheetName val="CXP LP"/>
      <sheetName val="Pasivo laborales"/>
      <sheetName val="Pensiones"/>
      <sheetName val="Bonos emitidos"/>
      <sheetName val="Derivados"/>
      <sheetName val="Arrenda"/>
      <sheetName val="Hoja3"/>
    </sheetNames>
    <sheetDataSet>
      <sheetData sheetId="0">
        <row r="48">
          <cell r="C48">
            <v>-10680</v>
          </cell>
        </row>
        <row r="79">
          <cell r="C79">
            <v>4000</v>
          </cell>
        </row>
      </sheetData>
      <sheetData sheetId="19">
        <row r="20">
          <cell r="C20">
            <v>54000</v>
          </cell>
          <cell r="D20">
            <v>-8100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2"/>
  <sheetViews>
    <sheetView zoomScale="110" zoomScaleNormal="110" zoomScalePageLayoutView="0" workbookViewId="0" topLeftCell="A1">
      <selection activeCell="B11" sqref="B11"/>
    </sheetView>
  </sheetViews>
  <sheetFormatPr defaultColWidth="11.421875" defaultRowHeight="15"/>
  <cols>
    <col min="1" max="1" width="2.00390625" style="1" customWidth="1"/>
    <col min="2" max="2" width="37.00390625" style="1" customWidth="1"/>
    <col min="3" max="3" width="11.57421875" style="1" bestFit="1" customWidth="1"/>
    <col min="4" max="252" width="11.421875" style="1" customWidth="1"/>
    <col min="253" max="253" width="42.7109375" style="1" customWidth="1"/>
    <col min="254" max="16384" width="11.57421875" style="1" customWidth="1"/>
  </cols>
  <sheetData>
    <row r="2" spans="2:3" ht="14.25">
      <c r="B2" s="79" t="s">
        <v>0</v>
      </c>
      <c r="C2" s="79"/>
    </row>
    <row r="3" ht="14.25">
      <c r="B3" s="26" t="s">
        <v>421</v>
      </c>
    </row>
    <row r="4" ht="14.25">
      <c r="B4" s="2" t="s">
        <v>1</v>
      </c>
    </row>
    <row r="6" spans="2:3" ht="14.25">
      <c r="B6" s="3" t="s">
        <v>2</v>
      </c>
      <c r="C6" s="4" t="s">
        <v>3</v>
      </c>
    </row>
    <row r="7" spans="2:3" ht="14.25">
      <c r="B7" s="5" t="s">
        <v>4</v>
      </c>
      <c r="C7" s="6">
        <v>10304</v>
      </c>
    </row>
    <row r="8" ht="14.25">
      <c r="B8" s="5" t="s">
        <v>5</v>
      </c>
    </row>
    <row r="9" spans="2:3" ht="14.25">
      <c r="B9" s="5" t="s">
        <v>6</v>
      </c>
      <c r="C9" s="6">
        <v>15600</v>
      </c>
    </row>
    <row r="10" spans="2:3" ht="14.25">
      <c r="B10" s="5" t="s">
        <v>7</v>
      </c>
      <c r="C10" s="6">
        <v>13446</v>
      </c>
    </row>
    <row r="11" spans="2:3" ht="14.25">
      <c r="B11" s="5" t="s">
        <v>8</v>
      </c>
      <c r="C11" s="6">
        <v>8000</v>
      </c>
    </row>
    <row r="12" ht="14.25">
      <c r="B12" s="5" t="s">
        <v>9</v>
      </c>
    </row>
    <row r="13" spans="2:3" ht="14.25">
      <c r="B13" s="5" t="s">
        <v>10</v>
      </c>
      <c r="C13" s="6">
        <v>3500</v>
      </c>
    </row>
    <row r="14" spans="2:3" ht="14.25">
      <c r="B14" s="5" t="s">
        <v>11</v>
      </c>
      <c r="C14" s="6">
        <v>1300</v>
      </c>
    </row>
    <row r="15" spans="2:3" ht="14.25">
      <c r="B15" s="5" t="s">
        <v>12</v>
      </c>
      <c r="C15" s="6">
        <v>18000</v>
      </c>
    </row>
    <row r="16" spans="2:3" ht="14.25">
      <c r="B16" s="5" t="s">
        <v>13</v>
      </c>
      <c r="C16" s="6">
        <v>1560</v>
      </c>
    </row>
    <row r="17" spans="2:3" ht="14.25">
      <c r="B17" s="5" t="s">
        <v>14</v>
      </c>
      <c r="C17" s="6">
        <v>1300</v>
      </c>
    </row>
    <row r="18" spans="2:3" ht="14.25">
      <c r="B18" s="5" t="s">
        <v>15</v>
      </c>
      <c r="C18" s="6">
        <v>4000</v>
      </c>
    </row>
    <row r="19" spans="2:3" ht="14.25">
      <c r="B19" s="5" t="s">
        <v>16</v>
      </c>
      <c r="C19" s="6">
        <v>600</v>
      </c>
    </row>
    <row r="20" spans="2:3" ht="14.25">
      <c r="B20" s="5" t="s">
        <v>17</v>
      </c>
      <c r="C20" s="6">
        <v>4000</v>
      </c>
    </row>
    <row r="21" spans="2:3" ht="14.25">
      <c r="B21" s="5" t="s">
        <v>18</v>
      </c>
      <c r="C21" s="6">
        <v>-150</v>
      </c>
    </row>
    <row r="22" ht="14.25">
      <c r="B22" s="5" t="s">
        <v>19</v>
      </c>
    </row>
    <row r="23" spans="2:3" ht="14.25">
      <c r="B23" s="5" t="s">
        <v>20</v>
      </c>
      <c r="C23" s="6">
        <v>12900</v>
      </c>
    </row>
    <row r="24" spans="2:3" ht="14.25">
      <c r="B24" s="5" t="s">
        <v>21</v>
      </c>
      <c r="C24" s="6">
        <f>14454+98500</f>
        <v>112954</v>
      </c>
    </row>
    <row r="25" spans="2:3" ht="14.25">
      <c r="B25" s="5" t="s">
        <v>22</v>
      </c>
      <c r="C25" s="6">
        <v>-1200</v>
      </c>
    </row>
    <row r="26" spans="2:3" ht="14.25">
      <c r="B26" s="5" t="s">
        <v>23</v>
      </c>
      <c r="C26" s="6">
        <v>900</v>
      </c>
    </row>
    <row r="27" spans="2:3" ht="14.25">
      <c r="B27" s="5" t="s">
        <v>24</v>
      </c>
      <c r="C27" s="6" t="s">
        <v>25</v>
      </c>
    </row>
    <row r="28" spans="2:3" ht="14.25">
      <c r="B28" s="5" t="s">
        <v>26</v>
      </c>
      <c r="C28" s="6">
        <v>2000</v>
      </c>
    </row>
    <row r="29" ht="14.25">
      <c r="B29" s="5" t="s">
        <v>27</v>
      </c>
    </row>
    <row r="30" spans="2:3" ht="14.25">
      <c r="B30" s="5" t="s">
        <v>28</v>
      </c>
      <c r="C30" s="5">
        <v>15000</v>
      </c>
    </row>
    <row r="31" spans="2:3" ht="14.25">
      <c r="B31" s="5" t="s">
        <v>29</v>
      </c>
      <c r="C31" s="5">
        <v>20290</v>
      </c>
    </row>
    <row r="32" spans="2:4" ht="14.25">
      <c r="B32" s="5" t="s">
        <v>30</v>
      </c>
      <c r="C32" s="6">
        <v>112300</v>
      </c>
      <c r="D32" s="48" t="s">
        <v>67</v>
      </c>
    </row>
    <row r="33" spans="2:3" ht="14.25">
      <c r="B33" s="5" t="s">
        <v>31</v>
      </c>
      <c r="C33" s="6">
        <v>54000</v>
      </c>
    </row>
    <row r="34" spans="2:3" ht="14.25">
      <c r="B34" s="5" t="s">
        <v>32</v>
      </c>
      <c r="C34" s="6">
        <v>3000</v>
      </c>
    </row>
    <row r="35" spans="2:3" ht="14.25">
      <c r="B35" s="5" t="s">
        <v>33</v>
      </c>
      <c r="C35" s="6">
        <v>-41640</v>
      </c>
    </row>
    <row r="36" spans="2:3" ht="14.25">
      <c r="B36" s="5" t="s">
        <v>34</v>
      </c>
      <c r="C36" s="6">
        <v>-1600</v>
      </c>
    </row>
    <row r="37" spans="2:3" ht="14.25">
      <c r="B37" s="5" t="s">
        <v>35</v>
      </c>
      <c r="C37" s="6">
        <v>7000</v>
      </c>
    </row>
    <row r="38" ht="14.25">
      <c r="B38" s="5" t="s">
        <v>37</v>
      </c>
    </row>
    <row r="39" spans="2:3" ht="14.25">
      <c r="B39" s="5" t="s">
        <v>38</v>
      </c>
      <c r="C39" s="5">
        <v>8000</v>
      </c>
    </row>
    <row r="40" spans="2:3" ht="14.25">
      <c r="B40" s="5" t="s">
        <v>39</v>
      </c>
      <c r="C40" s="6">
        <v>5000</v>
      </c>
    </row>
    <row r="41" spans="2:3" ht="14.25">
      <c r="B41" s="5" t="s">
        <v>40</v>
      </c>
      <c r="C41" s="6">
        <v>2000</v>
      </c>
    </row>
    <row r="42" spans="2:3" ht="14.25">
      <c r="B42" s="5" t="s">
        <v>41</v>
      </c>
      <c r="C42" s="6">
        <v>1000</v>
      </c>
    </row>
    <row r="43" spans="2:3" ht="14.25">
      <c r="B43" s="5" t="s">
        <v>42</v>
      </c>
      <c r="C43" s="6">
        <v>35600</v>
      </c>
    </row>
    <row r="44" spans="2:3" ht="14.25">
      <c r="B44" s="5" t="s">
        <v>43</v>
      </c>
      <c r="C44" s="6">
        <v>-10680</v>
      </c>
    </row>
    <row r="45" spans="2:3" ht="14.25">
      <c r="B45" s="5" t="s">
        <v>44</v>
      </c>
      <c r="C45" s="6">
        <v>21000</v>
      </c>
    </row>
    <row r="46" spans="2:3" ht="14.25">
      <c r="B46" s="5" t="s">
        <v>45</v>
      </c>
      <c r="C46" s="6">
        <v>1300</v>
      </c>
    </row>
    <row r="47" ht="14.25">
      <c r="B47" s="5" t="s">
        <v>46</v>
      </c>
    </row>
    <row r="48" spans="2:3" ht="14.25">
      <c r="B48" s="5" t="s">
        <v>420</v>
      </c>
      <c r="C48" s="6">
        <v>6000</v>
      </c>
    </row>
    <row r="49" spans="2:3" ht="14.25">
      <c r="B49" s="5" t="s">
        <v>48</v>
      </c>
      <c r="C49" s="6">
        <v>5000</v>
      </c>
    </row>
    <row r="50" spans="2:3" ht="14.25">
      <c r="B50" s="5" t="s">
        <v>23</v>
      </c>
      <c r="C50" s="6">
        <v>3000</v>
      </c>
    </row>
    <row r="51" ht="14.25">
      <c r="B51" s="5" t="s">
        <v>49</v>
      </c>
    </row>
    <row r="52" spans="2:3" ht="14.25">
      <c r="B52" s="5" t="s">
        <v>30</v>
      </c>
      <c r="C52" s="6">
        <v>15000</v>
      </c>
    </row>
    <row r="53" spans="2:3" ht="14.25">
      <c r="B53" s="5" t="s">
        <v>31</v>
      </c>
      <c r="C53" s="6">
        <v>23000</v>
      </c>
    </row>
    <row r="54" spans="2:3" ht="14.25">
      <c r="B54" s="5" t="s">
        <v>50</v>
      </c>
      <c r="C54" s="6">
        <v>11000</v>
      </c>
    </row>
    <row r="55" spans="2:3" ht="14.25">
      <c r="B55" s="7" t="s">
        <v>51</v>
      </c>
      <c r="C55" s="8">
        <f>SUM(C7:C54)</f>
        <v>503584</v>
      </c>
    </row>
    <row r="57" spans="2:3" ht="14.25">
      <c r="B57" s="7" t="s">
        <v>52</v>
      </c>
      <c r="C57" s="4" t="s">
        <v>3</v>
      </c>
    </row>
    <row r="58" spans="2:3" ht="14.25">
      <c r="B58" s="5" t="s">
        <v>53</v>
      </c>
      <c r="C58" s="6">
        <v>59500</v>
      </c>
    </row>
    <row r="59" spans="2:3" ht="14.25">
      <c r="B59" s="5" t="s">
        <v>54</v>
      </c>
      <c r="C59" s="6">
        <v>79800</v>
      </c>
    </row>
    <row r="60" spans="2:3" ht="14.25">
      <c r="B60" s="5" t="s">
        <v>55</v>
      </c>
      <c r="C60" s="6">
        <v>8000</v>
      </c>
    </row>
    <row r="61" spans="2:3" ht="14.25">
      <c r="B61" s="5" t="s">
        <v>56</v>
      </c>
      <c r="C61" s="6">
        <v>2565</v>
      </c>
    </row>
    <row r="62" spans="2:3" ht="14.25">
      <c r="B62" s="5" t="s">
        <v>57</v>
      </c>
      <c r="C62" s="6">
        <v>900</v>
      </c>
    </row>
    <row r="63" spans="2:3" ht="14.25">
      <c r="B63" s="5" t="s">
        <v>58</v>
      </c>
      <c r="C63" s="6">
        <v>11000</v>
      </c>
    </row>
    <row r="64" spans="2:3" ht="14.25">
      <c r="B64" s="5" t="s">
        <v>59</v>
      </c>
      <c r="C64" s="6">
        <v>3000</v>
      </c>
    </row>
    <row r="65" spans="2:3" ht="14.25">
      <c r="B65" s="5" t="s">
        <v>60</v>
      </c>
      <c r="C65" s="6">
        <v>13800</v>
      </c>
    </row>
    <row r="66" ht="14.25">
      <c r="B66" s="5" t="s">
        <v>62</v>
      </c>
    </row>
    <row r="67" spans="2:3" ht="14.25">
      <c r="B67" s="5" t="s">
        <v>63</v>
      </c>
      <c r="C67" s="6">
        <v>8000</v>
      </c>
    </row>
    <row r="68" spans="2:3" ht="14.25">
      <c r="B68" s="5" t="s">
        <v>64</v>
      </c>
      <c r="C68" s="6">
        <v>14000</v>
      </c>
    </row>
    <row r="69" spans="2:3" ht="14.25">
      <c r="B69" s="5" t="s">
        <v>65</v>
      </c>
      <c r="C69" s="6">
        <v>4000</v>
      </c>
    </row>
    <row r="70" spans="2:3" ht="14.25">
      <c r="B70" s="7" t="s">
        <v>66</v>
      </c>
      <c r="C70" s="7">
        <f>SUM(C58:C69)</f>
        <v>204565</v>
      </c>
    </row>
    <row r="71" spans="2:3" ht="14.25">
      <c r="B71" s="7" t="s">
        <v>67</v>
      </c>
      <c r="C71" s="7" t="s">
        <v>25</v>
      </c>
    </row>
    <row r="72" spans="2:3" ht="14.25">
      <c r="B72" s="7" t="s">
        <v>68</v>
      </c>
      <c r="C72" s="7" t="s">
        <v>25</v>
      </c>
    </row>
    <row r="73" spans="2:3" ht="14.25">
      <c r="B73" s="5" t="s">
        <v>69</v>
      </c>
      <c r="C73" s="6">
        <v>88000</v>
      </c>
    </row>
    <row r="74" spans="2:3" ht="14.25">
      <c r="B74" s="5" t="s">
        <v>70</v>
      </c>
      <c r="C74" s="6">
        <v>20000</v>
      </c>
    </row>
    <row r="75" spans="2:3" ht="14.25">
      <c r="B75" s="5" t="s">
        <v>71</v>
      </c>
      <c r="C75" s="6">
        <v>70000</v>
      </c>
    </row>
    <row r="76" spans="2:3" ht="14.25">
      <c r="B76" s="5" t="s">
        <v>72</v>
      </c>
      <c r="C76" s="6">
        <v>27249</v>
      </c>
    </row>
    <row r="77" spans="2:3" ht="14.25">
      <c r="B77" s="5" t="s">
        <v>73</v>
      </c>
      <c r="C77" s="6">
        <v>39270</v>
      </c>
    </row>
    <row r="78" spans="2:3" ht="14.25">
      <c r="B78" s="5" t="s">
        <v>74</v>
      </c>
      <c r="C78" s="6">
        <v>49000</v>
      </c>
    </row>
    <row r="79" spans="2:3" ht="14.25">
      <c r="B79" s="5" t="s">
        <v>75</v>
      </c>
      <c r="C79" s="6">
        <v>5500</v>
      </c>
    </row>
    <row r="80" spans="2:3" ht="14.25">
      <c r="B80" s="7" t="s">
        <v>76</v>
      </c>
      <c r="C80" s="7">
        <f>SUM(C73:C79)</f>
        <v>299019</v>
      </c>
    </row>
    <row r="81" spans="2:3" ht="14.25">
      <c r="B81" s="7" t="s">
        <v>77</v>
      </c>
      <c r="C81" s="7">
        <f>+C80+C70</f>
        <v>503584</v>
      </c>
    </row>
    <row r="82" ht="14.25">
      <c r="C82" s="1">
        <f>+C55-C81</f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6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3.7109375" style="10" customWidth="1"/>
    <col min="2" max="2" width="38.57421875" style="10" customWidth="1"/>
    <col min="3" max="16384" width="11.57421875" style="10" customWidth="1"/>
  </cols>
  <sheetData>
    <row r="2" spans="2:3" ht="14.25">
      <c r="B2" s="25" t="s">
        <v>512</v>
      </c>
      <c r="C2" s="77"/>
    </row>
    <row r="3" spans="2:3" ht="14.25">
      <c r="B3" s="77"/>
      <c r="C3" s="77"/>
    </row>
    <row r="4" spans="2:3" ht="14.25">
      <c r="B4" s="25" t="s">
        <v>82</v>
      </c>
      <c r="C4" s="77" t="s">
        <v>83</v>
      </c>
    </row>
    <row r="5" spans="2:3" ht="14.25">
      <c r="B5" s="77"/>
      <c r="C5" s="77"/>
    </row>
    <row r="6" spans="2:3" ht="14.25">
      <c r="B6" s="25" t="s">
        <v>428</v>
      </c>
      <c r="C6" s="77" t="s">
        <v>513</v>
      </c>
    </row>
    <row r="7" spans="2:3" ht="14.25">
      <c r="B7" s="77"/>
      <c r="C7" s="77"/>
    </row>
    <row r="8" spans="2:3" ht="14.25">
      <c r="B8" s="25" t="s">
        <v>508</v>
      </c>
      <c r="C8" s="77" t="s">
        <v>514</v>
      </c>
    </row>
    <row r="9" spans="2:3" ht="14.25">
      <c r="B9" s="25"/>
      <c r="C9" s="77" t="s">
        <v>515</v>
      </c>
    </row>
    <row r="11" spans="2:3" ht="14.25">
      <c r="B11" s="25" t="s">
        <v>85</v>
      </c>
      <c r="C11" s="10" t="s">
        <v>516</v>
      </c>
    </row>
    <row r="12" ht="14.25">
      <c r="C12" s="10" t="s">
        <v>517</v>
      </c>
    </row>
    <row r="13" ht="14.25">
      <c r="C13" s="10" t="s">
        <v>519</v>
      </c>
    </row>
    <row r="14" ht="14.25">
      <c r="C14" s="10" t="s">
        <v>518</v>
      </c>
    </row>
    <row r="17" ht="14.25">
      <c r="B17" s="9" t="s">
        <v>130</v>
      </c>
    </row>
    <row r="18" ht="14.25">
      <c r="B18" s="10" t="s">
        <v>131</v>
      </c>
    </row>
    <row r="19" spans="2:3" ht="14.25">
      <c r="B19" s="14" t="s">
        <v>12</v>
      </c>
      <c r="C19" s="15">
        <v>18000</v>
      </c>
    </row>
    <row r="20" spans="2:3" ht="14.25">
      <c r="B20" s="14" t="s">
        <v>14</v>
      </c>
      <c r="C20" s="15">
        <v>1300</v>
      </c>
    </row>
    <row r="21" spans="2:3" ht="14.25">
      <c r="B21" s="14"/>
      <c r="C21" s="15">
        <f>SUM(C19:C20)</f>
        <v>19300</v>
      </c>
    </row>
    <row r="22" spans="2:3" ht="14.25">
      <c r="B22" s="10" t="s">
        <v>520</v>
      </c>
      <c r="C22" s="15"/>
    </row>
    <row r="23" spans="2:3" ht="14.25">
      <c r="B23" s="14" t="s">
        <v>59</v>
      </c>
      <c r="C23" s="15">
        <v>3000</v>
      </c>
    </row>
    <row r="24" spans="2:3" ht="14.25">
      <c r="B24" s="14" t="s">
        <v>60</v>
      </c>
      <c r="C24" s="15">
        <v>13800</v>
      </c>
    </row>
    <row r="25" ht="14.25">
      <c r="C25" s="21">
        <f>SUM(C23:C24)</f>
        <v>16800</v>
      </c>
    </row>
    <row r="26" spans="2:3" ht="14.25">
      <c r="B26" s="24" t="s">
        <v>132</v>
      </c>
      <c r="C26" s="45">
        <f>+C21-C25</f>
        <v>2500</v>
      </c>
    </row>
    <row r="29" spans="2:5" ht="14.25">
      <c r="B29" s="25" t="s">
        <v>96</v>
      </c>
      <c r="C29" s="77"/>
      <c r="D29" s="77"/>
      <c r="E29" s="77"/>
    </row>
    <row r="30" spans="2:5" ht="14.25">
      <c r="B30" s="77"/>
      <c r="C30" s="77"/>
      <c r="D30" s="77"/>
      <c r="E30" s="77"/>
    </row>
    <row r="31" spans="2:5" ht="14.25">
      <c r="B31" s="14" t="s">
        <v>133</v>
      </c>
      <c r="C31" s="77">
        <f>+C23</f>
        <v>3000</v>
      </c>
      <c r="D31" s="77"/>
      <c r="E31" s="77"/>
    </row>
    <row r="32" spans="2:5" ht="14.25">
      <c r="B32" s="14" t="s">
        <v>134</v>
      </c>
      <c r="C32" s="77">
        <f>+C24</f>
        <v>13800</v>
      </c>
      <c r="D32" s="77"/>
      <c r="E32" s="77"/>
    </row>
    <row r="33" spans="2:5" ht="14.25">
      <c r="B33" s="14" t="s">
        <v>135</v>
      </c>
      <c r="C33" s="77"/>
      <c r="D33" s="77">
        <f>+C19</f>
        <v>18000</v>
      </c>
      <c r="E33" s="77"/>
    </row>
    <row r="34" spans="2:5" ht="14.25">
      <c r="B34" s="14" t="s">
        <v>136</v>
      </c>
      <c r="C34" s="77"/>
      <c r="D34" s="77">
        <f>+C20</f>
        <v>1300</v>
      </c>
      <c r="E34" s="77"/>
    </row>
    <row r="35" spans="2:5" ht="14.25">
      <c r="B35" s="14" t="s">
        <v>137</v>
      </c>
      <c r="C35" s="77">
        <f>+C26</f>
        <v>2500</v>
      </c>
      <c r="D35" s="77"/>
      <c r="E35" s="77"/>
    </row>
    <row r="36" spans="2:5" ht="15" thickBot="1">
      <c r="B36" s="77"/>
      <c r="C36" s="20">
        <f>SUM(C31:C35)</f>
        <v>19300</v>
      </c>
      <c r="D36" s="20">
        <f>SUM(D31:D35)</f>
        <v>19300</v>
      </c>
      <c r="E36" s="77"/>
    </row>
    <row r="37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4"/>
  <sheetViews>
    <sheetView zoomScale="90" zoomScaleNormal="90" zoomScalePageLayoutView="0" workbookViewId="0" topLeftCell="A1">
      <selection activeCell="D19" sqref="D19"/>
    </sheetView>
  </sheetViews>
  <sheetFormatPr defaultColWidth="11.421875" defaultRowHeight="15"/>
  <cols>
    <col min="1" max="1" width="4.57421875" style="10" customWidth="1"/>
    <col min="2" max="3" width="16.7109375" style="10" customWidth="1"/>
    <col min="4" max="4" width="17.28125" style="10" customWidth="1"/>
    <col min="5" max="5" width="19.00390625" style="10" customWidth="1"/>
    <col min="6" max="6" width="13.421875" style="10" customWidth="1"/>
    <col min="7" max="7" width="19.421875" style="10" customWidth="1"/>
    <col min="8" max="8" width="15.28125" style="10" customWidth="1"/>
    <col min="9" max="16384" width="11.57421875" style="10" customWidth="1"/>
  </cols>
  <sheetData>
    <row r="1" spans="2:4" ht="14.25">
      <c r="B1" s="77"/>
      <c r="C1" s="77"/>
      <c r="D1" s="77"/>
    </row>
    <row r="2" spans="2:4" ht="14.25">
      <c r="B2" s="77"/>
      <c r="C2" s="77"/>
      <c r="D2" s="77"/>
    </row>
    <row r="3" spans="2:4" ht="14.25">
      <c r="B3" s="25" t="s">
        <v>522</v>
      </c>
      <c r="C3" s="77"/>
      <c r="D3" s="77"/>
    </row>
    <row r="4" spans="2:4" ht="14.25">
      <c r="B4" s="77"/>
      <c r="C4" s="77"/>
      <c r="D4" s="77"/>
    </row>
    <row r="5" spans="2:4" ht="14.25">
      <c r="B5" s="25" t="s">
        <v>82</v>
      </c>
      <c r="C5" s="77" t="s">
        <v>83</v>
      </c>
      <c r="D5" s="77"/>
    </row>
    <row r="6" spans="2:4" ht="14.25">
      <c r="B6" s="77"/>
      <c r="C6" s="77"/>
      <c r="D6" s="77"/>
    </row>
    <row r="7" spans="2:4" ht="14.25">
      <c r="B7" s="25" t="s">
        <v>428</v>
      </c>
      <c r="C7" s="77" t="s">
        <v>523</v>
      </c>
      <c r="D7" s="77"/>
    </row>
    <row r="8" spans="2:4" ht="14.25">
      <c r="B8" s="77"/>
      <c r="C8" s="77"/>
      <c r="D8" s="77"/>
    </row>
    <row r="9" spans="2:4" ht="14.25">
      <c r="B9" s="25" t="s">
        <v>438</v>
      </c>
      <c r="C9" s="77" t="s">
        <v>524</v>
      </c>
      <c r="D9" s="77"/>
    </row>
    <row r="10" spans="2:4" ht="14.25">
      <c r="B10" s="25"/>
      <c r="C10" s="77" t="s">
        <v>525</v>
      </c>
      <c r="D10" s="77"/>
    </row>
    <row r="12" spans="2:3" ht="14.25">
      <c r="B12" s="25" t="s">
        <v>85</v>
      </c>
      <c r="C12" s="10" t="s">
        <v>526</v>
      </c>
    </row>
    <row r="13" ht="14.25">
      <c r="C13" s="10" t="s">
        <v>527</v>
      </c>
    </row>
    <row r="14" ht="14.25">
      <c r="C14" s="10" t="s">
        <v>528</v>
      </c>
    </row>
    <row r="15" spans="3:10" ht="14.25">
      <c r="C15" s="10" t="s">
        <v>529</v>
      </c>
      <c r="I15" s="27">
        <v>0.14</v>
      </c>
      <c r="J15" s="10" t="s">
        <v>115</v>
      </c>
    </row>
    <row r="16" spans="3:10" ht="14.25">
      <c r="C16" s="10" t="s">
        <v>530</v>
      </c>
      <c r="I16" s="54">
        <f>+(1+I15)^(1/12)-1</f>
        <v>0.010978851950173452</v>
      </c>
      <c r="J16" s="10" t="s">
        <v>116</v>
      </c>
    </row>
    <row r="17" ht="14.25">
      <c r="F17" s="53"/>
    </row>
    <row r="18" ht="14.25">
      <c r="F18" s="53"/>
    </row>
    <row r="19" ht="14.25">
      <c r="B19" s="9" t="s">
        <v>531</v>
      </c>
    </row>
    <row r="21" spans="2:5" ht="14.25">
      <c r="B21" s="10" t="s">
        <v>139</v>
      </c>
      <c r="C21" s="10" t="s">
        <v>532</v>
      </c>
      <c r="E21" s="44" t="s">
        <v>67</v>
      </c>
    </row>
    <row r="22" spans="2:8" ht="14.25">
      <c r="B22" s="10" t="s">
        <v>140</v>
      </c>
      <c r="C22" s="77">
        <v>4000</v>
      </c>
      <c r="E22" s="10" t="s">
        <v>67</v>
      </c>
      <c r="G22" s="54" t="s">
        <v>67</v>
      </c>
      <c r="H22" s="10" t="s">
        <v>67</v>
      </c>
    </row>
    <row r="23" spans="2:5" ht="14.25">
      <c r="B23" s="10" t="s">
        <v>146</v>
      </c>
      <c r="C23" s="27">
        <v>0.01</v>
      </c>
      <c r="D23" s="10" t="s">
        <v>110</v>
      </c>
      <c r="E23" s="38" t="s">
        <v>67</v>
      </c>
    </row>
    <row r="24" spans="2:5" ht="14.25">
      <c r="B24" s="10" t="s">
        <v>141</v>
      </c>
      <c r="E24" s="10" t="s">
        <v>67</v>
      </c>
    </row>
    <row r="25" spans="2:5" ht="14.25">
      <c r="B25" s="10" t="s">
        <v>142</v>
      </c>
      <c r="C25" s="10" t="s">
        <v>143</v>
      </c>
      <c r="E25" s="10" t="s">
        <v>67</v>
      </c>
    </row>
    <row r="26" spans="2:7" ht="14.25">
      <c r="B26" s="10" t="s">
        <v>112</v>
      </c>
      <c r="C26" s="10" t="s">
        <v>144</v>
      </c>
      <c r="E26" s="10" t="s">
        <v>67</v>
      </c>
      <c r="G26" s="10" t="s">
        <v>67</v>
      </c>
    </row>
    <row r="27" spans="2:5" ht="14.25">
      <c r="B27" s="10" t="s">
        <v>107</v>
      </c>
      <c r="C27" s="10">
        <v>5</v>
      </c>
      <c r="D27" s="10" t="s">
        <v>145</v>
      </c>
      <c r="E27" s="10" t="s">
        <v>67</v>
      </c>
    </row>
    <row r="28" ht="14.25">
      <c r="D28" s="10" t="s">
        <v>67</v>
      </c>
    </row>
    <row r="29" ht="14.25">
      <c r="B29" s="9" t="s">
        <v>533</v>
      </c>
    </row>
    <row r="31" ht="14.25">
      <c r="B31" s="10" t="s">
        <v>541</v>
      </c>
    </row>
    <row r="33" spans="3:7" ht="14.25">
      <c r="C33" s="56" t="s">
        <v>534</v>
      </c>
      <c r="D33" s="56" t="s">
        <v>535</v>
      </c>
      <c r="E33" s="56" t="s">
        <v>142</v>
      </c>
      <c r="F33" s="56" t="s">
        <v>112</v>
      </c>
      <c r="G33" s="56" t="s">
        <v>536</v>
      </c>
    </row>
    <row r="34" spans="3:7" ht="14.25">
      <c r="C34" s="10">
        <v>1</v>
      </c>
      <c r="D34" s="32">
        <v>42155</v>
      </c>
      <c r="E34" s="10">
        <f>+$C$22*$C$23</f>
        <v>40</v>
      </c>
      <c r="G34" s="10">
        <f>+E34+F34</f>
        <v>40</v>
      </c>
    </row>
    <row r="35" spans="3:8" ht="14.25">
      <c r="C35" s="10">
        <v>2</v>
      </c>
      <c r="D35" s="32">
        <v>42521</v>
      </c>
      <c r="E35" s="77">
        <f>+$C$22*$C$23</f>
        <v>40</v>
      </c>
      <c r="F35" s="77"/>
      <c r="G35" s="77">
        <f>+E35+F35</f>
        <v>40</v>
      </c>
      <c r="H35" s="77"/>
    </row>
    <row r="36" spans="3:8" ht="14.25">
      <c r="C36" s="10">
        <v>3</v>
      </c>
      <c r="D36" s="32">
        <v>42886</v>
      </c>
      <c r="E36" s="77">
        <f>+$C$22*$C$23</f>
        <v>40</v>
      </c>
      <c r="F36" s="77"/>
      <c r="G36" s="77">
        <f>+E36+F36</f>
        <v>40</v>
      </c>
      <c r="H36" s="77"/>
    </row>
    <row r="37" spans="3:8" ht="14.25">
      <c r="C37" s="10">
        <v>4</v>
      </c>
      <c r="D37" s="32">
        <v>43251</v>
      </c>
      <c r="E37" s="77">
        <f>+$C$22*$C$23</f>
        <v>40</v>
      </c>
      <c r="F37" s="77"/>
      <c r="G37" s="77">
        <f>+E37+F37</f>
        <v>40</v>
      </c>
      <c r="H37" s="77"/>
    </row>
    <row r="38" spans="3:8" ht="14.25">
      <c r="C38" s="10">
        <v>5</v>
      </c>
      <c r="D38" s="32">
        <v>43616</v>
      </c>
      <c r="E38" s="77">
        <f>+$C$22*$C$23</f>
        <v>40</v>
      </c>
      <c r="F38" s="77">
        <f>+C22</f>
        <v>4000</v>
      </c>
      <c r="G38" s="77">
        <f>+E38+F38</f>
        <v>4040</v>
      </c>
      <c r="H38" s="77"/>
    </row>
    <row r="39" spans="4:8" ht="14.25">
      <c r="D39" s="32" t="s">
        <v>67</v>
      </c>
      <c r="E39" s="77"/>
      <c r="F39" s="77"/>
      <c r="G39" s="77"/>
      <c r="H39" s="77"/>
    </row>
    <row r="40" spans="2:5" ht="14.25">
      <c r="B40" s="10" t="s">
        <v>542</v>
      </c>
      <c r="E40" s="32">
        <v>42004</v>
      </c>
    </row>
    <row r="42" spans="3:8" ht="14.25">
      <c r="C42" s="56" t="s">
        <v>534</v>
      </c>
      <c r="D42" s="56" t="s">
        <v>535</v>
      </c>
      <c r="E42" s="57" t="s">
        <v>537</v>
      </c>
      <c r="F42" s="56" t="s">
        <v>539</v>
      </c>
      <c r="G42" s="57" t="s">
        <v>150</v>
      </c>
      <c r="H42" s="56" t="s">
        <v>161</v>
      </c>
    </row>
    <row r="43" spans="3:8" ht="14.25">
      <c r="C43" s="10">
        <v>1</v>
      </c>
      <c r="D43" s="32">
        <v>42155</v>
      </c>
      <c r="E43" s="58">
        <v>5</v>
      </c>
      <c r="F43" s="59">
        <f>+I16</f>
        <v>0.010978851950173452</v>
      </c>
      <c r="G43" s="77">
        <f>+G34</f>
        <v>40</v>
      </c>
      <c r="H43" s="77">
        <f>+G43/(1+F43)^E43</f>
        <v>37.87473794182732</v>
      </c>
    </row>
    <row r="44" spans="3:8" ht="14.25">
      <c r="C44" s="10">
        <v>2</v>
      </c>
      <c r="D44" s="32">
        <v>42521</v>
      </c>
      <c r="E44" s="58">
        <f>+E43+12</f>
        <v>17</v>
      </c>
      <c r="F44" s="59">
        <f>+F43</f>
        <v>0.010978851950173452</v>
      </c>
      <c r="G44" s="77">
        <f>+G35</f>
        <v>40</v>
      </c>
      <c r="H44" s="77">
        <f>+G44/(1+F44)^E44</f>
        <v>33.22345433493627</v>
      </c>
    </row>
    <row r="45" spans="3:8" ht="14.25">
      <c r="C45" s="10">
        <v>3</v>
      </c>
      <c r="D45" s="32">
        <v>42886</v>
      </c>
      <c r="E45" s="58">
        <f>+E44+12</f>
        <v>29</v>
      </c>
      <c r="F45" s="59">
        <f>+F44</f>
        <v>0.010978851950173452</v>
      </c>
      <c r="G45" s="77">
        <f>+G36</f>
        <v>40</v>
      </c>
      <c r="H45" s="77">
        <f>+G45/(1+F45)^E45</f>
        <v>29.143380995558157</v>
      </c>
    </row>
    <row r="46" spans="3:8" ht="14.25">
      <c r="C46" s="10">
        <v>4</v>
      </c>
      <c r="D46" s="32">
        <v>43251</v>
      </c>
      <c r="E46" s="58">
        <f>+E45+12</f>
        <v>41</v>
      </c>
      <c r="F46" s="59">
        <f>+F45</f>
        <v>0.010978851950173452</v>
      </c>
      <c r="G46" s="77">
        <f>+G37</f>
        <v>40</v>
      </c>
      <c r="H46" s="77">
        <f>+G46/(1+F46)^E46</f>
        <v>25.564369294349287</v>
      </c>
    </row>
    <row r="47" spans="3:8" ht="14.25">
      <c r="C47" s="10">
        <v>5</v>
      </c>
      <c r="D47" s="32">
        <v>43616</v>
      </c>
      <c r="E47" s="58">
        <f>+E46+12</f>
        <v>53</v>
      </c>
      <c r="F47" s="59">
        <f>+F46</f>
        <v>0.010978851950173452</v>
      </c>
      <c r="G47" s="77">
        <f>+G38</f>
        <v>4040</v>
      </c>
      <c r="H47" s="77">
        <f>+G47/(1+F47)^E47</f>
        <v>2264.9134199379655</v>
      </c>
    </row>
    <row r="48" spans="6:8" ht="15" thickBot="1">
      <c r="F48" s="9" t="s">
        <v>540</v>
      </c>
      <c r="H48" s="31">
        <f>SUM(H43:H47)</f>
        <v>2390.7193625046366</v>
      </c>
    </row>
    <row r="49" ht="15" thickTop="1"/>
    <row r="51" spans="8:9" ht="14.25">
      <c r="H51" s="73"/>
      <c r="I51" s="73"/>
    </row>
    <row r="52" spans="2:8" ht="14.25">
      <c r="B52" s="10" t="s">
        <v>538</v>
      </c>
      <c r="G52" s="73"/>
      <c r="H52" s="73"/>
    </row>
    <row r="53" spans="7:8" ht="14.25">
      <c r="G53" s="73"/>
      <c r="H53" s="73"/>
    </row>
    <row r="54" spans="7:8" ht="14.25">
      <c r="G54" s="73"/>
      <c r="H54" s="73"/>
    </row>
    <row r="55" spans="2:8" ht="14.25">
      <c r="B55" s="9" t="s">
        <v>491</v>
      </c>
      <c r="G55" s="73"/>
      <c r="H55" s="73"/>
    </row>
    <row r="56" spans="7:8" ht="14.25">
      <c r="G56" s="73"/>
      <c r="H56" s="73"/>
    </row>
    <row r="57" spans="2:8" ht="14.25">
      <c r="B57" s="10" t="s">
        <v>543</v>
      </c>
      <c r="C57" s="21">
        <f>+H48</f>
        <v>2390.7193625046366</v>
      </c>
      <c r="G57" s="73"/>
      <c r="H57" s="73"/>
    </row>
    <row r="58" spans="2:8" ht="14.25">
      <c r="B58" s="10" t="s">
        <v>544</v>
      </c>
      <c r="C58" s="77">
        <f>+'HT Inicial'!C23</f>
        <v>4000</v>
      </c>
      <c r="G58" s="73"/>
      <c r="H58" s="73"/>
    </row>
    <row r="59" spans="2:8" ht="15" thickBot="1">
      <c r="B59" s="9" t="s">
        <v>151</v>
      </c>
      <c r="C59" s="31">
        <f>+C57-C58</f>
        <v>-1609.2806374953634</v>
      </c>
      <c r="G59" s="73"/>
      <c r="H59" s="73"/>
    </row>
    <row r="60" ht="15" thickTop="1">
      <c r="D60" s="21" t="s">
        <v>67</v>
      </c>
    </row>
    <row r="61" ht="14.25">
      <c r="B61" s="9" t="s">
        <v>545</v>
      </c>
    </row>
    <row r="62" spans="2:4" ht="14.25">
      <c r="B62" s="25" t="s">
        <v>67</v>
      </c>
      <c r="C62" s="77"/>
      <c r="D62" s="77"/>
    </row>
    <row r="63" spans="2:6" ht="14.25">
      <c r="B63" s="77"/>
      <c r="C63" s="77"/>
      <c r="D63" s="77"/>
      <c r="E63" s="10" t="s">
        <v>67</v>
      </c>
      <c r="F63" s="21" t="s">
        <v>67</v>
      </c>
    </row>
    <row r="64" spans="2:4" ht="14.25">
      <c r="B64" s="14" t="s">
        <v>123</v>
      </c>
      <c r="C64" s="77">
        <f>-C59</f>
        <v>1609.2806374953634</v>
      </c>
      <c r="D64" s="77"/>
    </row>
    <row r="65" spans="2:4" ht="14.25">
      <c r="B65" s="14" t="s">
        <v>152</v>
      </c>
      <c r="C65" s="77" t="s">
        <v>67</v>
      </c>
      <c r="D65" s="77">
        <f>+C64</f>
        <v>1609.2806374953634</v>
      </c>
    </row>
    <row r="66" spans="2:4" ht="15" thickBot="1">
      <c r="B66" s="77"/>
      <c r="C66" s="20">
        <f>SUM(C64:C65)</f>
        <v>1609.2806374953634</v>
      </c>
      <c r="D66" s="20">
        <f>SUM(D64:D65)</f>
        <v>1609.2806374953634</v>
      </c>
    </row>
    <row r="67" ht="15" thickTop="1"/>
    <row r="71" ht="14.25">
      <c r="B71" s="9" t="s">
        <v>548</v>
      </c>
    </row>
    <row r="73" spans="2:5" ht="14.25">
      <c r="B73" s="12" t="s">
        <v>534</v>
      </c>
      <c r="C73" s="11" t="s">
        <v>547</v>
      </c>
      <c r="D73" s="12" t="s">
        <v>150</v>
      </c>
      <c r="E73" s="12" t="s">
        <v>120</v>
      </c>
    </row>
    <row r="74" spans="2:6" ht="14.25">
      <c r="B74" s="10">
        <v>1</v>
      </c>
      <c r="C74" s="77">
        <v>12</v>
      </c>
      <c r="D74" s="77">
        <f>+G43</f>
        <v>40</v>
      </c>
      <c r="E74" s="77">
        <f>+D74/(1+$I$16)^C74</f>
        <v>35.087719298245645</v>
      </c>
      <c r="F74" s="77"/>
    </row>
    <row r="75" spans="2:6" ht="14.25">
      <c r="B75" s="10">
        <v>2</v>
      </c>
      <c r="C75" s="77">
        <f>+C74+12</f>
        <v>24</v>
      </c>
      <c r="D75" s="77">
        <f>+G44</f>
        <v>40</v>
      </c>
      <c r="E75" s="77">
        <f>+D75/(1+$I$16)^C75</f>
        <v>30.778701138811996</v>
      </c>
      <c r="F75" s="77"/>
    </row>
    <row r="76" spans="2:6" ht="14.25">
      <c r="B76" s="10">
        <v>3</v>
      </c>
      <c r="C76" s="77">
        <f>+C75+12</f>
        <v>36</v>
      </c>
      <c r="D76" s="77">
        <f>+G45</f>
        <v>40</v>
      </c>
      <c r="E76" s="77">
        <f>+D76/(1+$I$16)^C76</f>
        <v>26.998860648080726</v>
      </c>
      <c r="F76" s="77"/>
    </row>
    <row r="77" spans="2:6" ht="14.25">
      <c r="B77" s="10">
        <v>4</v>
      </c>
      <c r="C77" s="77">
        <f>+C76+12</f>
        <v>48</v>
      </c>
      <c r="D77" s="77">
        <f>+G46</f>
        <v>40</v>
      </c>
      <c r="E77" s="77">
        <f>+D77/(1+$I$16)^C77</f>
        <v>23.683211094807678</v>
      </c>
      <c r="F77" s="77"/>
    </row>
    <row r="78" spans="2:6" ht="14.25">
      <c r="B78" s="10">
        <v>5</v>
      </c>
      <c r="C78" s="77">
        <f>+C77+12</f>
        <v>60</v>
      </c>
      <c r="D78" s="77">
        <f>+G47</f>
        <v>4040</v>
      </c>
      <c r="E78" s="77">
        <f>+D78/(1+$I$16)^C78</f>
        <v>2098.2494040136644</v>
      </c>
      <c r="F78" s="77"/>
    </row>
    <row r="79" spans="3:6" ht="14.25">
      <c r="C79" s="77" t="s">
        <v>549</v>
      </c>
      <c r="E79" s="60">
        <f>SUM(E74:E78)</f>
        <v>2214.7978961936105</v>
      </c>
      <c r="F79" s="77"/>
    </row>
    <row r="80" spans="3:6" ht="14.25">
      <c r="C80" s="77"/>
      <c r="D80" s="77"/>
      <c r="E80" s="77"/>
      <c r="F80" s="77"/>
    </row>
    <row r="83" spans="2:3" ht="14.25">
      <c r="B83" s="10" t="s">
        <v>80</v>
      </c>
      <c r="C83" s="34">
        <f>+G59</f>
        <v>0</v>
      </c>
    </row>
    <row r="84" spans="2:5" ht="14.25">
      <c r="B84" s="12" t="s">
        <v>390</v>
      </c>
      <c r="C84" s="12" t="s">
        <v>142</v>
      </c>
      <c r="D84" s="12" t="s">
        <v>292</v>
      </c>
      <c r="E84" s="12" t="s">
        <v>391</v>
      </c>
    </row>
    <row r="85" spans="1:5" ht="14.25">
      <c r="A85" s="10">
        <v>1</v>
      </c>
      <c r="B85" s="34">
        <f>+E79</f>
        <v>2214.7978961936105</v>
      </c>
      <c r="C85" s="46">
        <f aca="true" t="shared" si="0" ref="C85:C91">+B85*$I$16</f>
        <v>24.31593820186528</v>
      </c>
      <c r="E85" s="34">
        <f aca="true" t="shared" si="1" ref="E85:E116">+B85+C85-D85</f>
        <v>2239.113834395476</v>
      </c>
    </row>
    <row r="86" spans="1:5" ht="14.25">
      <c r="A86" s="10">
        <v>2</v>
      </c>
      <c r="B86" s="34">
        <f aca="true" t="shared" si="2" ref="B86:B91">+E85</f>
        <v>2239.113834395476</v>
      </c>
      <c r="C86" s="46">
        <f t="shared" si="0"/>
        <v>24.582899287413124</v>
      </c>
      <c r="E86" s="34">
        <f t="shared" si="1"/>
        <v>2263.696733682889</v>
      </c>
    </row>
    <row r="87" spans="1:5" ht="14.25">
      <c r="A87" s="10">
        <v>3</v>
      </c>
      <c r="B87" s="34">
        <f t="shared" si="2"/>
        <v>2263.696733682889</v>
      </c>
      <c r="C87" s="46">
        <f t="shared" si="0"/>
        <v>24.85279129919566</v>
      </c>
      <c r="E87" s="34">
        <f t="shared" si="1"/>
        <v>2288.5495249820847</v>
      </c>
    </row>
    <row r="88" spans="1:5" ht="14.25">
      <c r="A88" s="10">
        <f>+A87+1</f>
        <v>4</v>
      </c>
      <c r="B88" s="34">
        <f t="shared" si="2"/>
        <v>2288.5495249820847</v>
      </c>
      <c r="C88" s="46">
        <f t="shared" si="0"/>
        <v>25.125646415418085</v>
      </c>
      <c r="E88" s="34">
        <f t="shared" si="1"/>
        <v>2313.6751713975027</v>
      </c>
    </row>
    <row r="89" spans="1:5" ht="14.25">
      <c r="A89" s="10">
        <f aca="true" t="shared" si="3" ref="A89:A144">+A88+1</f>
        <v>5</v>
      </c>
      <c r="B89" s="34">
        <f t="shared" si="2"/>
        <v>2313.6751713975027</v>
      </c>
      <c r="C89" s="46">
        <f t="shared" si="0"/>
        <v>25.401497167565367</v>
      </c>
      <c r="E89" s="34">
        <f t="shared" si="1"/>
        <v>2339.076668565068</v>
      </c>
    </row>
    <row r="90" spans="1:5" ht="14.25">
      <c r="A90" s="10">
        <f t="shared" si="3"/>
        <v>6</v>
      </c>
      <c r="B90" s="34">
        <f t="shared" si="2"/>
        <v>2339.076668565068</v>
      </c>
      <c r="C90" s="46">
        <f t="shared" si="0"/>
        <v>25.680376444280814</v>
      </c>
      <c r="E90" s="34">
        <f t="shared" si="1"/>
        <v>2364.7570450093485</v>
      </c>
    </row>
    <row r="91" spans="1:6" ht="14.25">
      <c r="A91" s="10">
        <f t="shared" si="3"/>
        <v>7</v>
      </c>
      <c r="B91" s="34">
        <f t="shared" si="2"/>
        <v>2364.7570450093485</v>
      </c>
      <c r="C91" s="46">
        <f t="shared" si="0"/>
        <v>25.962317495287294</v>
      </c>
      <c r="E91" s="45">
        <f t="shared" si="1"/>
        <v>2390.7193625046357</v>
      </c>
      <c r="F91" s="9" t="s">
        <v>550</v>
      </c>
    </row>
    <row r="92" spans="1:5" ht="14.25">
      <c r="A92" s="10">
        <f t="shared" si="3"/>
        <v>8</v>
      </c>
      <c r="B92" s="34">
        <f aca="true" t="shared" si="4" ref="B92:B127">+E91</f>
        <v>2390.7193625046357</v>
      </c>
      <c r="C92" s="46">
        <f aca="true" t="shared" si="5" ref="C92:C144">+B92*$I$16</f>
        <v>26.247353935351452</v>
      </c>
      <c r="E92" s="34">
        <f t="shared" si="1"/>
        <v>2416.966716439987</v>
      </c>
    </row>
    <row r="93" spans="1:5" ht="14.25">
      <c r="A93" s="10">
        <f t="shared" si="3"/>
        <v>9</v>
      </c>
      <c r="B93" s="34">
        <f t="shared" si="4"/>
        <v>2416.966716439987</v>
      </c>
      <c r="C93" s="46">
        <f t="shared" si="5"/>
        <v>26.535519748291478</v>
      </c>
      <c r="E93" s="34">
        <f t="shared" si="1"/>
        <v>2443.5022361882784</v>
      </c>
    </row>
    <row r="94" spans="1:5" ht="14.25">
      <c r="A94" s="10">
        <f t="shared" si="3"/>
        <v>10</v>
      </c>
      <c r="B94" s="34">
        <f t="shared" si="4"/>
        <v>2443.5022361882784</v>
      </c>
      <c r="C94" s="46">
        <f t="shared" si="5"/>
        <v>26.82684929102887</v>
      </c>
      <c r="E94" s="34">
        <f t="shared" si="1"/>
        <v>2470.329085479307</v>
      </c>
    </row>
    <row r="95" spans="1:5" ht="14.25">
      <c r="A95" s="10">
        <f t="shared" si="3"/>
        <v>11</v>
      </c>
      <c r="B95" s="34">
        <f t="shared" si="4"/>
        <v>2470.329085479307</v>
      </c>
      <c r="C95" s="46">
        <f t="shared" si="5"/>
        <v>27.121377297684692</v>
      </c>
      <c r="E95" s="34">
        <f t="shared" si="1"/>
        <v>2497.450462776992</v>
      </c>
    </row>
    <row r="96" spans="1:5" ht="14.25">
      <c r="A96" s="10">
        <f t="shared" si="3"/>
        <v>12</v>
      </c>
      <c r="B96" s="34">
        <f t="shared" si="4"/>
        <v>2497.450462776992</v>
      </c>
      <c r="C96" s="46">
        <f t="shared" si="5"/>
        <v>27.41913888372077</v>
      </c>
      <c r="D96" s="10">
        <f>+E34</f>
        <v>40</v>
      </c>
      <c r="E96" s="34">
        <f t="shared" si="1"/>
        <v>2484.8696016607128</v>
      </c>
    </row>
    <row r="97" spans="1:5" ht="14.25">
      <c r="A97" s="10">
        <f t="shared" si="3"/>
        <v>13</v>
      </c>
      <c r="B97" s="34">
        <f t="shared" si="4"/>
        <v>2484.8696016607128</v>
      </c>
      <c r="C97" s="46">
        <f t="shared" si="5"/>
        <v>27.281015472119446</v>
      </c>
      <c r="E97" s="34">
        <f t="shared" si="1"/>
        <v>2512.1506171328324</v>
      </c>
    </row>
    <row r="98" spans="1:5" ht="14.25">
      <c r="A98" s="10">
        <f t="shared" si="3"/>
        <v>14</v>
      </c>
      <c r="B98" s="34">
        <f t="shared" si="4"/>
        <v>2512.1506171328324</v>
      </c>
      <c r="C98" s="46">
        <f t="shared" si="5"/>
        <v>27.580529702038238</v>
      </c>
      <c r="E98" s="34">
        <f t="shared" si="1"/>
        <v>2539.7311468348707</v>
      </c>
    </row>
    <row r="99" spans="1:5" ht="14.25">
      <c r="A99" s="10">
        <f t="shared" si="3"/>
        <v>15</v>
      </c>
      <c r="B99" s="34">
        <f t="shared" si="4"/>
        <v>2539.7311468348707</v>
      </c>
      <c r="C99" s="46">
        <f t="shared" si="5"/>
        <v>27.88333225434428</v>
      </c>
      <c r="E99" s="34">
        <f t="shared" si="1"/>
        <v>2567.614479089215</v>
      </c>
    </row>
    <row r="100" spans="1:5" ht="14.25">
      <c r="A100" s="10">
        <f t="shared" si="3"/>
        <v>16</v>
      </c>
      <c r="B100" s="34">
        <f t="shared" si="4"/>
        <v>2567.614479089215</v>
      </c>
      <c r="C100" s="46">
        <f t="shared" si="5"/>
        <v>28.189459231042218</v>
      </c>
      <c r="E100" s="34">
        <f t="shared" si="1"/>
        <v>2595.803938320257</v>
      </c>
    </row>
    <row r="101" spans="1:5" ht="14.25">
      <c r="A101" s="10">
        <f t="shared" si="3"/>
        <v>17</v>
      </c>
      <c r="B101" s="34">
        <f t="shared" si="4"/>
        <v>2595.803938320257</v>
      </c>
      <c r="C101" s="46">
        <f t="shared" si="5"/>
        <v>28.49894713049528</v>
      </c>
      <c r="E101" s="34">
        <f t="shared" si="1"/>
        <v>2624.3028854507525</v>
      </c>
    </row>
    <row r="102" spans="1:5" ht="14.25">
      <c r="A102" s="10">
        <f t="shared" si="3"/>
        <v>18</v>
      </c>
      <c r="B102" s="34">
        <f t="shared" si="4"/>
        <v>2624.3028854507525</v>
      </c>
      <c r="C102" s="46">
        <f t="shared" si="5"/>
        <v>28.81183285177681</v>
      </c>
      <c r="E102" s="34">
        <f t="shared" si="1"/>
        <v>2653.114718302529</v>
      </c>
    </row>
    <row r="103" spans="1:5" ht="14.25">
      <c r="A103" s="10">
        <f t="shared" si="3"/>
        <v>19</v>
      </c>
      <c r="B103" s="34">
        <f t="shared" si="4"/>
        <v>2653.114718302529</v>
      </c>
      <c r="C103" s="46">
        <f t="shared" si="5"/>
        <v>29.12815369906961</v>
      </c>
      <c r="E103" s="34">
        <f t="shared" si="1"/>
        <v>2682.2428720015987</v>
      </c>
    </row>
    <row r="104" spans="1:5" ht="14.25">
      <c r="A104" s="10">
        <f t="shared" si="3"/>
        <v>20</v>
      </c>
      <c r="B104" s="34">
        <f t="shared" si="4"/>
        <v>2682.2428720015987</v>
      </c>
      <c r="C104" s="46">
        <f t="shared" si="5"/>
        <v>29.44794738611359</v>
      </c>
      <c r="E104" s="34">
        <f t="shared" si="1"/>
        <v>2711.6908193877125</v>
      </c>
    </row>
    <row r="105" spans="1:5" ht="14.25">
      <c r="A105" s="10">
        <f t="shared" si="3"/>
        <v>21</v>
      </c>
      <c r="B105" s="34">
        <f t="shared" si="4"/>
        <v>2711.6908193877125</v>
      </c>
      <c r="C105" s="46">
        <f t="shared" si="5"/>
        <v>29.771252040702233</v>
      </c>
      <c r="E105" s="34">
        <f t="shared" si="1"/>
        <v>2741.4620714284147</v>
      </c>
    </row>
    <row r="106" spans="1:5" ht="14.25">
      <c r="A106" s="10">
        <f t="shared" si="3"/>
        <v>22</v>
      </c>
      <c r="B106" s="34">
        <f t="shared" si="4"/>
        <v>2741.4620714284147</v>
      </c>
      <c r="C106" s="46">
        <f t="shared" si="5"/>
        <v>30.0981062092284</v>
      </c>
      <c r="E106" s="34">
        <f t="shared" si="1"/>
        <v>2771.560177637643</v>
      </c>
    </row>
    <row r="107" spans="1:5" ht="14.25">
      <c r="A107" s="10">
        <f t="shared" si="3"/>
        <v>23</v>
      </c>
      <c r="B107" s="34">
        <f t="shared" si="4"/>
        <v>2771.560177637643</v>
      </c>
      <c r="C107" s="46">
        <f t="shared" si="5"/>
        <v>30.428548861280113</v>
      </c>
      <c r="E107" s="34">
        <f t="shared" si="1"/>
        <v>2801.988726498923</v>
      </c>
    </row>
    <row r="108" spans="1:5" ht="14.25">
      <c r="A108" s="10">
        <f t="shared" si="3"/>
        <v>24</v>
      </c>
      <c r="B108" s="34">
        <f t="shared" si="4"/>
        <v>2801.988726498923</v>
      </c>
      <c r="C108" s="46">
        <f t="shared" si="5"/>
        <v>30.762619394286727</v>
      </c>
      <c r="D108" s="10">
        <f>+D96</f>
        <v>40</v>
      </c>
      <c r="E108" s="34">
        <f t="shared" si="1"/>
        <v>2792.7513458932094</v>
      </c>
    </row>
    <row r="109" spans="1:5" ht="14.25">
      <c r="A109" s="10">
        <f t="shared" si="3"/>
        <v>25</v>
      </c>
      <c r="B109" s="34">
        <f t="shared" si="4"/>
        <v>2792.7513458932094</v>
      </c>
      <c r="C109" s="46">
        <f t="shared" si="5"/>
        <v>30.661203560209195</v>
      </c>
      <c r="E109" s="34">
        <f t="shared" si="1"/>
        <v>2823.4125494534187</v>
      </c>
    </row>
    <row r="110" spans="1:5" ht="14.25">
      <c r="A110" s="10">
        <f t="shared" si="3"/>
        <v>26</v>
      </c>
      <c r="B110" s="34">
        <f t="shared" si="4"/>
        <v>2823.4125494534187</v>
      </c>
      <c r="C110" s="46">
        <f t="shared" si="5"/>
        <v>30.997828374710863</v>
      </c>
      <c r="E110" s="34">
        <f t="shared" si="1"/>
        <v>2854.4103778281296</v>
      </c>
    </row>
    <row r="111" spans="1:5" ht="14.25">
      <c r="A111" s="10">
        <f t="shared" si="3"/>
        <v>27</v>
      </c>
      <c r="B111" s="34">
        <f t="shared" si="4"/>
        <v>2854.4103778281296</v>
      </c>
      <c r="C111" s="46">
        <f t="shared" si="5"/>
        <v>31.3381489432137</v>
      </c>
      <c r="E111" s="34">
        <f t="shared" si="1"/>
        <v>2885.748526771343</v>
      </c>
    </row>
    <row r="112" spans="1:5" ht="14.25">
      <c r="A112" s="10">
        <f t="shared" si="3"/>
        <v>28</v>
      </c>
      <c r="B112" s="34">
        <f t="shared" si="4"/>
        <v>2885.748526771343</v>
      </c>
      <c r="C112" s="46">
        <f t="shared" si="5"/>
        <v>31.682205840853726</v>
      </c>
      <c r="E112" s="34">
        <f t="shared" si="1"/>
        <v>2917.430732612197</v>
      </c>
    </row>
    <row r="113" spans="1:5" ht="14.25">
      <c r="A113" s="10">
        <f t="shared" si="3"/>
        <v>29</v>
      </c>
      <c r="B113" s="34">
        <f t="shared" si="4"/>
        <v>2917.430732612197</v>
      </c>
      <c r="C113" s="46">
        <f t="shared" si="5"/>
        <v>32.03004008823538</v>
      </c>
      <c r="E113" s="34">
        <f t="shared" si="1"/>
        <v>2949.4607727004322</v>
      </c>
    </row>
    <row r="114" spans="1:5" ht="14.25">
      <c r="A114" s="10">
        <f t="shared" si="3"/>
        <v>30</v>
      </c>
      <c r="B114" s="34">
        <f t="shared" si="4"/>
        <v>2949.4607727004322</v>
      </c>
      <c r="C114" s="46">
        <f t="shared" si="5"/>
        <v>32.381693156322235</v>
      </c>
      <c r="E114" s="34">
        <f t="shared" si="1"/>
        <v>2981.8424658567546</v>
      </c>
    </row>
    <row r="115" spans="1:5" ht="14.25">
      <c r="A115" s="10">
        <f t="shared" si="3"/>
        <v>31</v>
      </c>
      <c r="B115" s="34">
        <f t="shared" si="4"/>
        <v>2981.8424658567546</v>
      </c>
      <c r="C115" s="46">
        <f t="shared" si="5"/>
        <v>32.73720697138145</v>
      </c>
      <c r="E115" s="34">
        <f t="shared" si="1"/>
        <v>3014.579672828136</v>
      </c>
    </row>
    <row r="116" spans="1:5" ht="14.25">
      <c r="A116" s="10">
        <f t="shared" si="3"/>
        <v>32</v>
      </c>
      <c r="B116" s="34">
        <f t="shared" si="4"/>
        <v>3014.579672828136</v>
      </c>
      <c r="C116" s="46">
        <f t="shared" si="5"/>
        <v>33.09662391998243</v>
      </c>
      <c r="E116" s="34">
        <f t="shared" si="1"/>
        <v>3047.6762967481186</v>
      </c>
    </row>
    <row r="117" spans="1:5" ht="14.25">
      <c r="A117" s="10">
        <f t="shared" si="3"/>
        <v>33</v>
      </c>
      <c r="B117" s="34">
        <f t="shared" si="4"/>
        <v>3047.6762967481186</v>
      </c>
      <c r="C117" s="46">
        <f t="shared" si="5"/>
        <v>33.459986854050484</v>
      </c>
      <c r="E117" s="34">
        <f aca="true" t="shared" si="6" ref="E117:E137">+B117+C117-D117</f>
        <v>3081.136283602169</v>
      </c>
    </row>
    <row r="118" spans="1:5" ht="14.25">
      <c r="A118" s="10">
        <f t="shared" si="3"/>
        <v>34</v>
      </c>
      <c r="B118" s="34">
        <f t="shared" si="4"/>
        <v>3081.136283602169</v>
      </c>
      <c r="C118" s="46">
        <f t="shared" si="5"/>
        <v>33.82733909597585</v>
      </c>
      <c r="E118" s="34">
        <f t="shared" si="6"/>
        <v>3114.9636226981447</v>
      </c>
    </row>
    <row r="119" spans="1:5" ht="14.25">
      <c r="A119" s="10">
        <f t="shared" si="3"/>
        <v>35</v>
      </c>
      <c r="B119" s="34">
        <f t="shared" si="4"/>
        <v>3114.9636226981447</v>
      </c>
      <c r="C119" s="46">
        <f t="shared" si="5"/>
        <v>34.198724443778886</v>
      </c>
      <c r="E119" s="34">
        <f t="shared" si="6"/>
        <v>3149.1623471419234</v>
      </c>
    </row>
    <row r="120" spans="1:5" ht="14.25">
      <c r="A120" s="10">
        <f t="shared" si="3"/>
        <v>36</v>
      </c>
      <c r="B120" s="34">
        <f t="shared" si="4"/>
        <v>3149.1623471419234</v>
      </c>
      <c r="C120" s="46">
        <f t="shared" si="5"/>
        <v>34.57418717633191</v>
      </c>
      <c r="D120" s="10">
        <f>+D108</f>
        <v>40</v>
      </c>
      <c r="E120" s="34">
        <f t="shared" si="6"/>
        <v>3143.7365343182555</v>
      </c>
    </row>
    <row r="121" spans="1:5" ht="14.25">
      <c r="A121" s="10">
        <f t="shared" si="3"/>
        <v>37</v>
      </c>
      <c r="B121" s="34">
        <f t="shared" si="4"/>
        <v>3143.7365343182555</v>
      </c>
      <c r="C121" s="46">
        <f t="shared" si="5"/>
        <v>34.514617980631506</v>
      </c>
      <c r="E121" s="34">
        <f t="shared" si="6"/>
        <v>3178.251152298887</v>
      </c>
    </row>
    <row r="122" spans="1:5" ht="14.25">
      <c r="A122" s="10">
        <f t="shared" si="3"/>
        <v>38</v>
      </c>
      <c r="B122" s="34">
        <f t="shared" si="4"/>
        <v>3178.251152298887</v>
      </c>
      <c r="C122" s="46">
        <f t="shared" si="5"/>
        <v>34.893548861557655</v>
      </c>
      <c r="E122" s="34">
        <f t="shared" si="6"/>
        <v>3213.1447011604446</v>
      </c>
    </row>
    <row r="123" spans="1:5" ht="14.25">
      <c r="A123" s="10">
        <f t="shared" si="3"/>
        <v>39</v>
      </c>
      <c r="B123" s="34">
        <f t="shared" si="4"/>
        <v>3213.1447011604446</v>
      </c>
      <c r="C123" s="46">
        <f t="shared" si="5"/>
        <v>35.27663996852484</v>
      </c>
      <c r="E123" s="34">
        <f t="shared" si="6"/>
        <v>3248.4213411289693</v>
      </c>
    </row>
    <row r="124" spans="1:5" ht="14.25">
      <c r="A124" s="10">
        <f t="shared" si="3"/>
        <v>40</v>
      </c>
      <c r="B124" s="34">
        <f t="shared" si="4"/>
        <v>3248.4213411289693</v>
      </c>
      <c r="C124" s="46">
        <f t="shared" si="5"/>
        <v>35.66393697603884</v>
      </c>
      <c r="E124" s="34">
        <f t="shared" si="6"/>
        <v>3284.085278105008</v>
      </c>
    </row>
    <row r="125" spans="1:5" ht="14.25">
      <c r="A125" s="10">
        <f t="shared" si="3"/>
        <v>41</v>
      </c>
      <c r="B125" s="34">
        <f t="shared" si="4"/>
        <v>3284.085278105008</v>
      </c>
      <c r="C125" s="46">
        <f t="shared" si="5"/>
        <v>36.05548606005909</v>
      </c>
      <c r="E125" s="34">
        <f t="shared" si="6"/>
        <v>3320.140764165067</v>
      </c>
    </row>
    <row r="126" spans="1:5" ht="14.25">
      <c r="A126" s="10">
        <f t="shared" si="3"/>
        <v>42</v>
      </c>
      <c r="B126" s="34">
        <f t="shared" si="4"/>
        <v>3320.140764165067</v>
      </c>
      <c r="C126" s="46">
        <f t="shared" si="5"/>
        <v>36.45133390350402</v>
      </c>
      <c r="E126" s="34">
        <f t="shared" si="6"/>
        <v>3356.592098068571</v>
      </c>
    </row>
    <row r="127" spans="1:5" ht="14.25">
      <c r="A127" s="10">
        <f t="shared" si="3"/>
        <v>43</v>
      </c>
      <c r="B127" s="34">
        <f t="shared" si="4"/>
        <v>3356.592098068571</v>
      </c>
      <c r="C127" s="46">
        <f t="shared" si="5"/>
        <v>36.85152770181693</v>
      </c>
      <c r="E127" s="34">
        <f t="shared" si="6"/>
        <v>3393.443625770388</v>
      </c>
    </row>
    <row r="128" spans="1:5" ht="14.25">
      <c r="A128" s="10">
        <f t="shared" si="3"/>
        <v>44</v>
      </c>
      <c r="B128" s="34">
        <f aca="true" t="shared" si="7" ref="B128:B144">+E127</f>
        <v>3393.443625770388</v>
      </c>
      <c r="C128" s="46">
        <f t="shared" si="5"/>
        <v>37.25611516859289</v>
      </c>
      <c r="E128" s="34">
        <f t="shared" si="6"/>
        <v>3430.6997409389805</v>
      </c>
    </row>
    <row r="129" spans="1:5" ht="14.25">
      <c r="A129" s="10">
        <f t="shared" si="3"/>
        <v>45</v>
      </c>
      <c r="B129" s="34">
        <f t="shared" si="7"/>
        <v>3430.6997409389805</v>
      </c>
      <c r="C129" s="46">
        <f t="shared" si="5"/>
        <v>37.66514454126748</v>
      </c>
      <c r="E129" s="34">
        <f t="shared" si="6"/>
        <v>3468.364885480248</v>
      </c>
    </row>
    <row r="130" spans="1:5" ht="14.25">
      <c r="A130" s="10">
        <f t="shared" si="3"/>
        <v>46</v>
      </c>
      <c r="B130" s="34">
        <f t="shared" si="7"/>
        <v>3468.364885480248</v>
      </c>
      <c r="C130" s="46">
        <f t="shared" si="5"/>
        <v>38.078664586867944</v>
      </c>
      <c r="E130" s="34">
        <f t="shared" si="6"/>
        <v>3506.443550067116</v>
      </c>
    </row>
    <row r="131" spans="1:5" ht="14.25">
      <c r="A131" s="10">
        <f t="shared" si="3"/>
        <v>47</v>
      </c>
      <c r="B131" s="34">
        <f t="shared" si="7"/>
        <v>3506.443550067116</v>
      </c>
      <c r="C131" s="46">
        <f t="shared" si="5"/>
        <v>38.49672460782748</v>
      </c>
      <c r="E131" s="34">
        <f t="shared" si="6"/>
        <v>3544.940274674944</v>
      </c>
    </row>
    <row r="132" spans="1:5" ht="14.25">
      <c r="A132" s="10">
        <f t="shared" si="3"/>
        <v>48</v>
      </c>
      <c r="B132" s="34">
        <f t="shared" si="7"/>
        <v>3544.940274674944</v>
      </c>
      <c r="C132" s="46">
        <f t="shared" si="5"/>
        <v>38.91937444786342</v>
      </c>
      <c r="D132" s="10">
        <f>+D120</f>
        <v>40</v>
      </c>
      <c r="E132" s="34">
        <f t="shared" si="6"/>
        <v>3543.8596491228072</v>
      </c>
    </row>
    <row r="133" spans="1:5" ht="14.25">
      <c r="A133" s="10">
        <f t="shared" si="3"/>
        <v>49</v>
      </c>
      <c r="B133" s="34">
        <f t="shared" si="7"/>
        <v>3543.8596491228072</v>
      </c>
      <c r="C133" s="46">
        <f t="shared" si="5"/>
        <v>38.90751041991294</v>
      </c>
      <c r="E133" s="34">
        <f t="shared" si="6"/>
        <v>3582.76715954272</v>
      </c>
    </row>
    <row r="134" spans="1:5" ht="14.25">
      <c r="A134" s="10">
        <f t="shared" si="3"/>
        <v>50</v>
      </c>
      <c r="B134" s="34">
        <f t="shared" si="7"/>
        <v>3582.76715954272</v>
      </c>
      <c r="C134" s="46">
        <f t="shared" si="5"/>
        <v>39.33467021656299</v>
      </c>
      <c r="E134" s="34">
        <f t="shared" si="6"/>
        <v>3622.101829759283</v>
      </c>
    </row>
    <row r="135" spans="1:5" ht="14.25">
      <c r="A135" s="10">
        <f t="shared" si="3"/>
        <v>51</v>
      </c>
      <c r="B135" s="34">
        <f t="shared" si="7"/>
        <v>3622.101829759283</v>
      </c>
      <c r="C135" s="46">
        <f t="shared" si="5"/>
        <v>39.76651973737953</v>
      </c>
      <c r="E135" s="34">
        <f t="shared" si="6"/>
        <v>3661.8683494966626</v>
      </c>
    </row>
    <row r="136" spans="1:5" ht="14.25">
      <c r="A136" s="10">
        <f t="shared" si="3"/>
        <v>52</v>
      </c>
      <c r="B136" s="34">
        <f t="shared" si="7"/>
        <v>3661.8683494966626</v>
      </c>
      <c r="C136" s="46">
        <f t="shared" si="5"/>
        <v>40.20311047014987</v>
      </c>
      <c r="E136" s="34">
        <f t="shared" si="6"/>
        <v>3702.0714599668127</v>
      </c>
    </row>
    <row r="137" spans="1:5" ht="14.25">
      <c r="A137" s="10">
        <f t="shared" si="3"/>
        <v>53</v>
      </c>
      <c r="B137" s="34">
        <f t="shared" si="7"/>
        <v>3702.0714599668127</v>
      </c>
      <c r="C137" s="46">
        <f t="shared" si="5"/>
        <v>40.64449446793812</v>
      </c>
      <c r="E137" s="34">
        <f t="shared" si="6"/>
        <v>3742.715954434751</v>
      </c>
    </row>
    <row r="138" spans="1:5" ht="14.25">
      <c r="A138" s="10">
        <f t="shared" si="3"/>
        <v>54</v>
      </c>
      <c r="B138" s="34">
        <f t="shared" si="7"/>
        <v>3742.715954434751</v>
      </c>
      <c r="C138" s="46">
        <f t="shared" si="5"/>
        <v>41.09072435529126</v>
      </c>
      <c r="E138" s="34">
        <f aca="true" t="shared" si="8" ref="E138:E144">+B138+C138-D138</f>
        <v>3783.806678790042</v>
      </c>
    </row>
    <row r="139" spans="1:5" ht="14.25">
      <c r="A139" s="10">
        <f t="shared" si="3"/>
        <v>55</v>
      </c>
      <c r="B139" s="34">
        <f t="shared" si="7"/>
        <v>3783.806678790042</v>
      </c>
      <c r="C139" s="46">
        <f t="shared" si="5"/>
        <v>41.541853334513384</v>
      </c>
      <c r="E139" s="34">
        <f t="shared" si="8"/>
        <v>3825.3485321245553</v>
      </c>
    </row>
    <row r="140" spans="1:5" ht="14.25">
      <c r="A140" s="10">
        <f t="shared" si="3"/>
        <v>56</v>
      </c>
      <c r="B140" s="34">
        <f t="shared" si="7"/>
        <v>3825.3485321245553</v>
      </c>
      <c r="C140" s="46">
        <f t="shared" si="5"/>
        <v>41.997935192008825</v>
      </c>
      <c r="E140" s="34">
        <f t="shared" si="8"/>
        <v>3867.346467316564</v>
      </c>
    </row>
    <row r="141" spans="1:5" ht="14.25">
      <c r="A141" s="10">
        <f t="shared" si="3"/>
        <v>57</v>
      </c>
      <c r="B141" s="34">
        <f t="shared" si="7"/>
        <v>3867.346467316564</v>
      </c>
      <c r="C141" s="46">
        <f t="shared" si="5"/>
        <v>42.459024304694864</v>
      </c>
      <c r="E141" s="34">
        <f t="shared" si="8"/>
        <v>3909.805491621259</v>
      </c>
    </row>
    <row r="142" spans="1:5" ht="14.25">
      <c r="A142" s="10">
        <f t="shared" si="3"/>
        <v>58</v>
      </c>
      <c r="B142" s="34">
        <f t="shared" si="7"/>
        <v>3909.805491621259</v>
      </c>
      <c r="C142" s="46">
        <f t="shared" si="5"/>
        <v>42.92517564648493</v>
      </c>
      <c r="E142" s="34">
        <f t="shared" si="8"/>
        <v>3952.730667267744</v>
      </c>
    </row>
    <row r="143" spans="1:5" ht="14.25">
      <c r="A143" s="10">
        <f t="shared" si="3"/>
        <v>59</v>
      </c>
      <c r="B143" s="34">
        <f t="shared" si="7"/>
        <v>3952.730667267744</v>
      </c>
      <c r="C143" s="46">
        <f t="shared" si="5"/>
        <v>43.39644479484288</v>
      </c>
      <c r="E143" s="34">
        <f t="shared" si="8"/>
        <v>3996.127112062587</v>
      </c>
    </row>
    <row r="144" spans="1:5" ht="14.25">
      <c r="A144" s="10">
        <f t="shared" si="3"/>
        <v>60</v>
      </c>
      <c r="B144" s="34">
        <f t="shared" si="7"/>
        <v>3996.127112062587</v>
      </c>
      <c r="C144" s="46">
        <f t="shared" si="5"/>
        <v>43.87288793740934</v>
      </c>
      <c r="D144" s="21">
        <f>+G47</f>
        <v>4040</v>
      </c>
      <c r="E144" s="34">
        <f t="shared" si="8"/>
        <v>-3.637978807091713E-12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19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2.421875" style="10" customWidth="1"/>
    <col min="2" max="2" width="27.421875" style="10" customWidth="1"/>
    <col min="3" max="3" width="21.28125" style="10" customWidth="1"/>
    <col min="4" max="4" width="19.421875" style="10" customWidth="1"/>
    <col min="5" max="5" width="16.28125" style="10" customWidth="1"/>
    <col min="6" max="6" width="11.57421875" style="10" customWidth="1"/>
    <col min="7" max="7" width="17.28125" style="10" customWidth="1"/>
    <col min="8" max="8" width="17.140625" style="10" customWidth="1"/>
    <col min="9" max="16384" width="11.57421875" style="10" customWidth="1"/>
  </cols>
  <sheetData>
    <row r="2" spans="2:4" ht="14.25">
      <c r="B2" s="25" t="s">
        <v>551</v>
      </c>
      <c r="C2" s="77"/>
      <c r="D2" s="77"/>
    </row>
    <row r="3" spans="2:4" ht="14.25">
      <c r="B3" s="77"/>
      <c r="C3" s="77"/>
      <c r="D3" s="77"/>
    </row>
    <row r="4" spans="2:4" ht="14.25">
      <c r="B4" s="25" t="s">
        <v>82</v>
      </c>
      <c r="C4" s="77" t="s">
        <v>83</v>
      </c>
      <c r="D4" s="77"/>
    </row>
    <row r="5" spans="2:4" ht="14.25">
      <c r="B5" s="77"/>
      <c r="C5" s="77"/>
      <c r="D5" s="77"/>
    </row>
    <row r="6" spans="2:4" ht="14.25">
      <c r="B6" s="25" t="s">
        <v>428</v>
      </c>
      <c r="C6" s="77" t="s">
        <v>552</v>
      </c>
      <c r="D6" s="77"/>
    </row>
    <row r="7" spans="2:4" ht="14.25">
      <c r="B7" s="77"/>
      <c r="C7" s="77"/>
      <c r="D7" s="77"/>
    </row>
    <row r="8" spans="2:4" ht="14.25">
      <c r="B8" s="25" t="s">
        <v>438</v>
      </c>
      <c r="C8" s="77" t="s">
        <v>524</v>
      </c>
      <c r="D8" s="77"/>
    </row>
    <row r="9" spans="2:4" ht="14.25">
      <c r="B9" s="25"/>
      <c r="C9" s="77" t="s">
        <v>525</v>
      </c>
      <c r="D9" s="77"/>
    </row>
    <row r="11" spans="2:3" ht="14.25">
      <c r="B11" s="25" t="s">
        <v>85</v>
      </c>
      <c r="C11" s="10" t="s">
        <v>553</v>
      </c>
    </row>
    <row r="12" ht="14.25">
      <c r="C12" s="10" t="s">
        <v>527</v>
      </c>
    </row>
    <row r="13" ht="14.25">
      <c r="C13" s="10" t="s">
        <v>528</v>
      </c>
    </row>
    <row r="14" spans="3:10" ht="14.25">
      <c r="C14" s="10" t="s">
        <v>529</v>
      </c>
      <c r="I14" s="27">
        <v>0.21</v>
      </c>
      <c r="J14" s="10" t="s">
        <v>115</v>
      </c>
    </row>
    <row r="15" spans="3:10" ht="14.25">
      <c r="C15" s="10" t="s">
        <v>530</v>
      </c>
      <c r="I15" s="54">
        <f>+(1+I14)^(1/12)-1</f>
        <v>0.016011867773387367</v>
      </c>
      <c r="J15" s="10" t="s">
        <v>116</v>
      </c>
    </row>
    <row r="18" ht="14.25">
      <c r="B18" s="9" t="s">
        <v>531</v>
      </c>
    </row>
    <row r="20" spans="2:3" ht="14.25">
      <c r="B20" s="10" t="s">
        <v>554</v>
      </c>
      <c r="C20" s="61">
        <v>40817</v>
      </c>
    </row>
    <row r="21" spans="2:3" ht="14.25">
      <c r="B21" s="10" t="s">
        <v>140</v>
      </c>
      <c r="C21" s="77">
        <v>7000</v>
      </c>
    </row>
    <row r="22" spans="2:3" ht="14.25">
      <c r="B22" s="10" t="s">
        <v>146</v>
      </c>
      <c r="C22" s="27">
        <v>0</v>
      </c>
    </row>
    <row r="23" spans="2:3" ht="14.25">
      <c r="B23" s="10" t="s">
        <v>141</v>
      </c>
      <c r="C23" s="10" t="s">
        <v>67</v>
      </c>
    </row>
    <row r="24" spans="2:3" ht="14.25">
      <c r="B24" s="10" t="s">
        <v>142</v>
      </c>
      <c r="C24" s="10">
        <v>0</v>
      </c>
    </row>
    <row r="25" spans="2:5" ht="14.25">
      <c r="B25" s="10" t="s">
        <v>112</v>
      </c>
      <c r="C25" s="10" t="s">
        <v>555</v>
      </c>
      <c r="D25" s="77">
        <f>+C21/C26</f>
        <v>1000</v>
      </c>
      <c r="E25" s="10" t="s">
        <v>143</v>
      </c>
    </row>
    <row r="26" spans="2:4" ht="14.25">
      <c r="B26" s="10" t="s">
        <v>107</v>
      </c>
      <c r="C26" s="10">
        <v>7</v>
      </c>
      <c r="D26" s="10" t="s">
        <v>145</v>
      </c>
    </row>
    <row r="27" ht="14.25">
      <c r="B27" s="9" t="s">
        <v>67</v>
      </c>
    </row>
    <row r="29" ht="14.25">
      <c r="B29" s="9" t="s">
        <v>533</v>
      </c>
    </row>
    <row r="31" ht="14.25">
      <c r="B31" s="10" t="s">
        <v>541</v>
      </c>
    </row>
    <row r="33" spans="2:7" ht="14.25">
      <c r="B33" s="56" t="s">
        <v>534</v>
      </c>
      <c r="C33" s="56" t="s">
        <v>535</v>
      </c>
      <c r="D33" s="56" t="s">
        <v>142</v>
      </c>
      <c r="E33" s="56" t="s">
        <v>112</v>
      </c>
      <c r="F33" s="56" t="s">
        <v>536</v>
      </c>
      <c r="G33" s="56" t="s">
        <v>556</v>
      </c>
    </row>
    <row r="34" spans="2:7" ht="14.25">
      <c r="B34" s="10">
        <v>1</v>
      </c>
      <c r="C34" s="32">
        <v>41182</v>
      </c>
      <c r="D34" s="77">
        <v>0</v>
      </c>
      <c r="E34" s="21">
        <f>+D25</f>
        <v>1000</v>
      </c>
      <c r="F34" s="77">
        <f>+D34+E34</f>
        <v>1000</v>
      </c>
      <c r="G34" s="21">
        <f>+C21-E34</f>
        <v>6000</v>
      </c>
    </row>
    <row r="35" spans="2:7" ht="14.25">
      <c r="B35" s="10">
        <f aca="true" t="shared" si="0" ref="B35:B40">+B34+1</f>
        <v>2</v>
      </c>
      <c r="C35" s="32">
        <v>41547</v>
      </c>
      <c r="D35" s="77">
        <v>0</v>
      </c>
      <c r="E35" s="21">
        <f aca="true" t="shared" si="1" ref="E35:E40">+E34</f>
        <v>1000</v>
      </c>
      <c r="F35" s="77">
        <f aca="true" t="shared" si="2" ref="F35:F40">+D35+E35</f>
        <v>1000</v>
      </c>
      <c r="G35" s="21">
        <f aca="true" t="shared" si="3" ref="G35:G40">+G34-E35</f>
        <v>5000</v>
      </c>
    </row>
    <row r="36" spans="2:8" ht="14.25">
      <c r="B36" s="10">
        <f t="shared" si="0"/>
        <v>3</v>
      </c>
      <c r="C36" s="32">
        <v>41912</v>
      </c>
      <c r="D36" s="77">
        <v>0</v>
      </c>
      <c r="E36" s="21">
        <f t="shared" si="1"/>
        <v>1000</v>
      </c>
      <c r="F36" s="77">
        <f t="shared" si="2"/>
        <v>1000</v>
      </c>
      <c r="G36" s="21">
        <f t="shared" si="3"/>
        <v>4000</v>
      </c>
      <c r="H36" s="10" t="s">
        <v>550</v>
      </c>
    </row>
    <row r="37" spans="2:7" ht="14.25">
      <c r="B37" s="10">
        <f t="shared" si="0"/>
        <v>4</v>
      </c>
      <c r="C37" s="32">
        <v>42277</v>
      </c>
      <c r="D37" s="77">
        <v>0</v>
      </c>
      <c r="E37" s="21">
        <f t="shared" si="1"/>
        <v>1000</v>
      </c>
      <c r="F37" s="77">
        <f t="shared" si="2"/>
        <v>1000</v>
      </c>
      <c r="G37" s="21">
        <f t="shared" si="3"/>
        <v>3000</v>
      </c>
    </row>
    <row r="38" spans="2:7" ht="14.25">
      <c r="B38" s="10">
        <f t="shared" si="0"/>
        <v>5</v>
      </c>
      <c r="C38" s="32">
        <v>42643</v>
      </c>
      <c r="D38" s="77">
        <v>0</v>
      </c>
      <c r="E38" s="21">
        <f t="shared" si="1"/>
        <v>1000</v>
      </c>
      <c r="F38" s="77">
        <f t="shared" si="2"/>
        <v>1000</v>
      </c>
      <c r="G38" s="21">
        <f t="shared" si="3"/>
        <v>2000</v>
      </c>
    </row>
    <row r="39" spans="2:7" ht="14.25">
      <c r="B39" s="10">
        <f t="shared" si="0"/>
        <v>6</v>
      </c>
      <c r="C39" s="32">
        <v>43008</v>
      </c>
      <c r="D39" s="77">
        <v>0</v>
      </c>
      <c r="E39" s="21">
        <f t="shared" si="1"/>
        <v>1000</v>
      </c>
      <c r="F39" s="77">
        <f t="shared" si="2"/>
        <v>1000</v>
      </c>
      <c r="G39" s="21">
        <f t="shared" si="3"/>
        <v>1000</v>
      </c>
    </row>
    <row r="40" spans="2:7" ht="14.25">
      <c r="B40" s="10">
        <f t="shared" si="0"/>
        <v>7</v>
      </c>
      <c r="C40" s="32">
        <v>43373</v>
      </c>
      <c r="D40" s="77">
        <v>0</v>
      </c>
      <c r="E40" s="21">
        <f t="shared" si="1"/>
        <v>1000</v>
      </c>
      <c r="F40" s="77">
        <f t="shared" si="2"/>
        <v>1000</v>
      </c>
      <c r="G40" s="21">
        <f t="shared" si="3"/>
        <v>0</v>
      </c>
    </row>
    <row r="41" spans="3:7" ht="14.25">
      <c r="C41" s="32" t="s">
        <v>67</v>
      </c>
      <c r="D41" s="77"/>
      <c r="E41" s="77"/>
      <c r="F41" s="77"/>
      <c r="G41" s="77"/>
    </row>
    <row r="42" spans="2:4" ht="14.25">
      <c r="B42" s="10" t="s">
        <v>542</v>
      </c>
      <c r="D42" s="32">
        <v>42004</v>
      </c>
    </row>
    <row r="44" spans="2:7" ht="14.25">
      <c r="B44" s="56" t="s">
        <v>534</v>
      </c>
      <c r="C44" s="56" t="s">
        <v>535</v>
      </c>
      <c r="D44" s="57" t="s">
        <v>537</v>
      </c>
      <c r="E44" s="56" t="s">
        <v>539</v>
      </c>
      <c r="F44" s="57" t="s">
        <v>150</v>
      </c>
      <c r="G44" s="56" t="s">
        <v>161</v>
      </c>
    </row>
    <row r="45" spans="2:7" ht="14.25">
      <c r="B45" s="56"/>
      <c r="C45" s="56"/>
      <c r="D45" s="57"/>
      <c r="E45" s="56"/>
      <c r="F45" s="57"/>
      <c r="G45" s="56"/>
    </row>
    <row r="46" spans="2:7" ht="14.25">
      <c r="B46" s="10">
        <f>+B37</f>
        <v>4</v>
      </c>
      <c r="C46" s="32">
        <f>+C37</f>
        <v>42277</v>
      </c>
      <c r="D46" s="58">
        <v>9</v>
      </c>
      <c r="E46" s="59">
        <f>+I15</f>
        <v>0.016011867773387367</v>
      </c>
      <c r="F46" s="77">
        <f>+F34</f>
        <v>1000</v>
      </c>
      <c r="G46" s="77">
        <f>+F46/(1+E46)^D46</f>
        <v>866.784172041447</v>
      </c>
    </row>
    <row r="47" spans="2:7" ht="14.25">
      <c r="B47" s="10">
        <f aca="true" t="shared" si="4" ref="B47:C49">+B38</f>
        <v>5</v>
      </c>
      <c r="C47" s="32">
        <f t="shared" si="4"/>
        <v>42643</v>
      </c>
      <c r="D47" s="58">
        <f>+D46+12</f>
        <v>21</v>
      </c>
      <c r="E47" s="59">
        <f>+E46</f>
        <v>0.016011867773387367</v>
      </c>
      <c r="F47" s="77">
        <f>+F35</f>
        <v>1000</v>
      </c>
      <c r="G47" s="77">
        <f>+F47/(1+E47)^D47</f>
        <v>716.3505554061542</v>
      </c>
    </row>
    <row r="48" spans="2:7" ht="14.25">
      <c r="B48" s="10">
        <f t="shared" si="4"/>
        <v>6</v>
      </c>
      <c r="C48" s="32">
        <f t="shared" si="4"/>
        <v>43008</v>
      </c>
      <c r="D48" s="58">
        <f>+D47+12</f>
        <v>33</v>
      </c>
      <c r="E48" s="59">
        <f>+E47</f>
        <v>0.016011867773387367</v>
      </c>
      <c r="F48" s="77">
        <f>+F36</f>
        <v>1000</v>
      </c>
      <c r="G48" s="77">
        <f>+F48/(1+E48)^D48</f>
        <v>592.02525240178</v>
      </c>
    </row>
    <row r="49" spans="2:7" ht="14.25">
      <c r="B49" s="10">
        <f t="shared" si="4"/>
        <v>7</v>
      </c>
      <c r="C49" s="32">
        <f t="shared" si="4"/>
        <v>43373</v>
      </c>
      <c r="D49" s="58">
        <f>+D48+12</f>
        <v>45</v>
      </c>
      <c r="E49" s="59">
        <f>+E48</f>
        <v>0.016011867773387367</v>
      </c>
      <c r="F49" s="77">
        <f>+F37</f>
        <v>1000</v>
      </c>
      <c r="G49" s="77">
        <f>+F49/(1+E49)^D49</f>
        <v>489.2770681006442</v>
      </c>
    </row>
    <row r="50" spans="5:7" ht="15" thickBot="1">
      <c r="E50" s="9" t="s">
        <v>540</v>
      </c>
      <c r="G50" s="31">
        <f>SUM(G46:G49)</f>
        <v>2664.4370479500253</v>
      </c>
    </row>
    <row r="51" ht="15" thickTop="1"/>
    <row r="52" ht="14.25">
      <c r="B52" s="10" t="s">
        <v>538</v>
      </c>
    </row>
    <row r="55" ht="14.25">
      <c r="B55" s="9" t="s">
        <v>491</v>
      </c>
    </row>
    <row r="57" spans="2:3" ht="14.25">
      <c r="B57" s="10" t="s">
        <v>543</v>
      </c>
      <c r="C57" s="21">
        <f>+G50</f>
        <v>2664.4370479500253</v>
      </c>
    </row>
    <row r="58" spans="2:3" ht="14.25">
      <c r="B58" s="10" t="s">
        <v>544</v>
      </c>
      <c r="C58" s="77">
        <f>+'HT Inicial'!C23</f>
        <v>4000</v>
      </c>
    </row>
    <row r="59" spans="2:3" ht="15" thickBot="1">
      <c r="B59" s="9" t="s">
        <v>151</v>
      </c>
      <c r="C59" s="31">
        <f>+C57-C58</f>
        <v>-1335.5629520499747</v>
      </c>
    </row>
    <row r="60" ht="15" thickTop="1"/>
    <row r="62" ht="14.25">
      <c r="B62" s="9" t="s">
        <v>545</v>
      </c>
    </row>
    <row r="64" spans="2:4" ht="14.25">
      <c r="B64" s="14" t="s">
        <v>123</v>
      </c>
      <c r="C64" s="77">
        <f>-C59</f>
        <v>1335.5629520499747</v>
      </c>
      <c r="D64" s="77"/>
    </row>
    <row r="65" spans="2:4" ht="14.25">
      <c r="B65" s="14" t="s">
        <v>155</v>
      </c>
      <c r="C65" s="77" t="s">
        <v>67</v>
      </c>
      <c r="D65" s="77">
        <f>+C64</f>
        <v>1335.5629520499747</v>
      </c>
    </row>
    <row r="66" spans="2:4" ht="15" thickBot="1">
      <c r="B66" s="77"/>
      <c r="C66" s="20">
        <f>SUM(C64:C65)</f>
        <v>1335.5629520499747</v>
      </c>
      <c r="D66" s="20">
        <f>SUM(D64:D65)</f>
        <v>1335.5629520499747</v>
      </c>
    </row>
    <row r="67" ht="15" thickTop="1"/>
    <row r="71" ht="14.25">
      <c r="B71" s="9" t="s">
        <v>558</v>
      </c>
    </row>
    <row r="73" spans="3:4" ht="14.25">
      <c r="C73" s="10" t="s">
        <v>557</v>
      </c>
      <c r="D73" s="21">
        <f>+C57</f>
        <v>2664.4370479500253</v>
      </c>
    </row>
    <row r="74" spans="2:6" ht="14.25">
      <c r="B74" s="12" t="s">
        <v>147</v>
      </c>
      <c r="C74" s="12" t="s">
        <v>390</v>
      </c>
      <c r="D74" s="12" t="s">
        <v>142</v>
      </c>
      <c r="E74" s="12" t="s">
        <v>292</v>
      </c>
      <c r="F74" s="12" t="s">
        <v>391</v>
      </c>
    </row>
    <row r="75" spans="2:8" ht="14.25">
      <c r="B75" s="10">
        <v>1</v>
      </c>
      <c r="C75" s="21">
        <f>+C57</f>
        <v>2664.4370479500253</v>
      </c>
      <c r="D75" s="73">
        <f aca="true" t="shared" si="5" ref="D75:D119">+C75*$I$15</f>
        <v>42.66261370229038</v>
      </c>
      <c r="E75" s="10">
        <v>0</v>
      </c>
      <c r="F75" s="21">
        <f>+C75+D75-E75</f>
        <v>2707.0996616523157</v>
      </c>
      <c r="G75" s="10" t="s">
        <v>67</v>
      </c>
      <c r="H75" s="34" t="s">
        <v>67</v>
      </c>
    </row>
    <row r="76" spans="2:9" ht="14.25">
      <c r="B76" s="10">
        <v>2</v>
      </c>
      <c r="C76" s="21">
        <f>+F75</f>
        <v>2707.0996616523157</v>
      </c>
      <c r="D76" s="73">
        <f t="shared" si="5"/>
        <v>43.34572183175856</v>
      </c>
      <c r="E76" s="10">
        <v>0</v>
      </c>
      <c r="F76" s="21">
        <f aca="true" t="shared" si="6" ref="F76:F119">+C76+D76-E76</f>
        <v>2750.4453834840742</v>
      </c>
      <c r="G76" s="10" t="s">
        <v>67</v>
      </c>
      <c r="I76" s="34" t="s">
        <v>67</v>
      </c>
    </row>
    <row r="77" spans="2:6" ht="14.25">
      <c r="B77" s="10">
        <v>3</v>
      </c>
      <c r="C77" s="21">
        <f aca="true" t="shared" si="7" ref="C77:C83">+F76</f>
        <v>2750.4453834840742</v>
      </c>
      <c r="D77" s="73">
        <f t="shared" si="5"/>
        <v>44.03976779827071</v>
      </c>
      <c r="E77" s="10">
        <v>0</v>
      </c>
      <c r="F77" s="21">
        <f t="shared" si="6"/>
        <v>2794.4851512823448</v>
      </c>
    </row>
    <row r="78" spans="2:6" ht="14.25">
      <c r="B78" s="10">
        <v>4</v>
      </c>
      <c r="C78" s="21">
        <f t="shared" si="7"/>
        <v>2794.4851512823448</v>
      </c>
      <c r="D78" s="73">
        <f t="shared" si="5"/>
        <v>44.7449267370273</v>
      </c>
      <c r="E78" s="10">
        <v>0</v>
      </c>
      <c r="F78" s="21">
        <f t="shared" si="6"/>
        <v>2839.230078019372</v>
      </c>
    </row>
    <row r="79" spans="2:6" ht="14.25">
      <c r="B79" s="10">
        <v>5</v>
      </c>
      <c r="C79" s="21">
        <f t="shared" si="7"/>
        <v>2839.230078019372</v>
      </c>
      <c r="D79" s="73">
        <f t="shared" si="5"/>
        <v>45.46137658747048</v>
      </c>
      <c r="E79" s="10">
        <v>0</v>
      </c>
      <c r="F79" s="21">
        <f t="shared" si="6"/>
        <v>2884.6914546068424</v>
      </c>
    </row>
    <row r="80" spans="2:6" ht="14.25">
      <c r="B80" s="10">
        <v>6</v>
      </c>
      <c r="C80" s="21">
        <f t="shared" si="7"/>
        <v>2884.6914546068424</v>
      </c>
      <c r="D80" s="73">
        <f t="shared" si="5"/>
        <v>46.18929813818523</v>
      </c>
      <c r="E80" s="10">
        <v>0</v>
      </c>
      <c r="F80" s="21">
        <f t="shared" si="6"/>
        <v>2930.8807527450276</v>
      </c>
    </row>
    <row r="81" spans="2:6" ht="14.25">
      <c r="B81" s="10">
        <v>7</v>
      </c>
      <c r="C81" s="21">
        <f t="shared" si="7"/>
        <v>2930.8807527450276</v>
      </c>
      <c r="D81" s="73">
        <f t="shared" si="5"/>
        <v>46.92887507251942</v>
      </c>
      <c r="E81" s="10">
        <v>0</v>
      </c>
      <c r="F81" s="21">
        <f t="shared" si="6"/>
        <v>2977.809627817547</v>
      </c>
    </row>
    <row r="82" spans="2:6" ht="14.25">
      <c r="B82" s="10">
        <v>8</v>
      </c>
      <c r="C82" s="21">
        <f t="shared" si="7"/>
        <v>2977.809627817547</v>
      </c>
      <c r="D82" s="73">
        <f t="shared" si="5"/>
        <v>47.68029401493441</v>
      </c>
      <c r="E82" s="10">
        <v>0</v>
      </c>
      <c r="F82" s="21">
        <f t="shared" si="6"/>
        <v>3025.4899218324817</v>
      </c>
    </row>
    <row r="83" spans="2:6" ht="14.25">
      <c r="B83" s="10">
        <f>+B82+1</f>
        <v>9</v>
      </c>
      <c r="C83" s="21">
        <f t="shared" si="7"/>
        <v>3025.4899218324817</v>
      </c>
      <c r="D83" s="73">
        <f t="shared" si="5"/>
        <v>48.44374457809778</v>
      </c>
      <c r="E83" s="21">
        <f>F46</f>
        <v>1000</v>
      </c>
      <c r="F83" s="21">
        <f t="shared" si="6"/>
        <v>2073.9336664105795</v>
      </c>
    </row>
    <row r="84" spans="2:6" ht="14.25">
      <c r="B84" s="10">
        <f aca="true" t="shared" si="8" ref="B84:B119">+B83+1</f>
        <v>10</v>
      </c>
      <c r="C84" s="21">
        <f aca="true" t="shared" si="9" ref="C84:C110">+F83</f>
        <v>2073.9336664105795</v>
      </c>
      <c r="D84" s="73">
        <f t="shared" si="5"/>
        <v>33.20755163734266</v>
      </c>
      <c r="E84" s="10">
        <v>0</v>
      </c>
      <c r="F84" s="21">
        <f t="shared" si="6"/>
        <v>2107.141218047922</v>
      </c>
    </row>
    <row r="85" spans="2:6" ht="14.25">
      <c r="B85" s="10">
        <f t="shared" si="8"/>
        <v>11</v>
      </c>
      <c r="C85" s="21">
        <f t="shared" si="9"/>
        <v>2107.141218047922</v>
      </c>
      <c r="D85" s="73">
        <f t="shared" si="5"/>
        <v>33.73926656323773</v>
      </c>
      <c r="E85" s="10">
        <v>0</v>
      </c>
      <c r="F85" s="21">
        <f t="shared" si="6"/>
        <v>2140.8804846111598</v>
      </c>
    </row>
    <row r="86" spans="2:6" ht="14.25">
      <c r="B86" s="10">
        <f t="shared" si="8"/>
        <v>12</v>
      </c>
      <c r="C86" s="21">
        <f t="shared" si="9"/>
        <v>2140.8804846111598</v>
      </c>
      <c r="D86" s="73">
        <f t="shared" si="5"/>
        <v>34.27949523821936</v>
      </c>
      <c r="E86" s="10">
        <v>0</v>
      </c>
      <c r="F86" s="21">
        <f t="shared" si="6"/>
        <v>2175.159979849379</v>
      </c>
    </row>
    <row r="87" spans="2:6" ht="14.25">
      <c r="B87" s="10">
        <f t="shared" si="8"/>
        <v>13</v>
      </c>
      <c r="C87" s="21">
        <f t="shared" si="9"/>
        <v>2175.159979849379</v>
      </c>
      <c r="D87" s="73">
        <f t="shared" si="5"/>
        <v>34.82837398331218</v>
      </c>
      <c r="E87" s="10">
        <v>0</v>
      </c>
      <c r="F87" s="21">
        <f t="shared" si="6"/>
        <v>2209.9883538326912</v>
      </c>
    </row>
    <row r="88" spans="2:6" ht="14.25">
      <c r="B88" s="10">
        <f t="shared" si="8"/>
        <v>14</v>
      </c>
      <c r="C88" s="21">
        <f t="shared" si="9"/>
        <v>2209.9883538326912</v>
      </c>
      <c r="D88" s="73">
        <f t="shared" si="5"/>
        <v>35.38604130229507</v>
      </c>
      <c r="E88" s="10">
        <v>0</v>
      </c>
      <c r="F88" s="21">
        <f t="shared" si="6"/>
        <v>2245.374395134986</v>
      </c>
    </row>
    <row r="89" spans="2:6" ht="14.25">
      <c r="B89" s="10">
        <f t="shared" si="8"/>
        <v>15</v>
      </c>
      <c r="C89" s="21">
        <f t="shared" si="9"/>
        <v>2245.374395134986</v>
      </c>
      <c r="D89" s="73">
        <f t="shared" si="5"/>
        <v>35.952637916651035</v>
      </c>
      <c r="E89" s="10">
        <v>0</v>
      </c>
      <c r="F89" s="21">
        <f t="shared" si="6"/>
        <v>2281.327033051637</v>
      </c>
    </row>
    <row r="90" spans="2:6" ht="14.25">
      <c r="B90" s="10">
        <f t="shared" si="8"/>
        <v>16</v>
      </c>
      <c r="C90" s="21">
        <f t="shared" si="9"/>
        <v>2281.327033051637</v>
      </c>
      <c r="D90" s="73">
        <f t="shared" si="5"/>
        <v>36.52830680107692</v>
      </c>
      <c r="E90" s="10">
        <v>0</v>
      </c>
      <c r="F90" s="21">
        <f t="shared" si="6"/>
        <v>2317.8553398527138</v>
      </c>
    </row>
    <row r="91" spans="2:6" ht="14.25">
      <c r="B91" s="10">
        <f t="shared" si="8"/>
        <v>17</v>
      </c>
      <c r="C91" s="21">
        <f t="shared" si="9"/>
        <v>2317.8553398527138</v>
      </c>
      <c r="D91" s="73">
        <f t="shared" si="5"/>
        <v>37.11319321956149</v>
      </c>
      <c r="E91" s="10">
        <v>0</v>
      </c>
      <c r="F91" s="21">
        <f t="shared" si="6"/>
        <v>2354.9685330722755</v>
      </c>
    </row>
    <row r="92" spans="2:6" ht="14.25">
      <c r="B92" s="10">
        <f t="shared" si="8"/>
        <v>18</v>
      </c>
      <c r="C92" s="21">
        <f t="shared" si="9"/>
        <v>2354.9685330722755</v>
      </c>
      <c r="D92" s="73">
        <f t="shared" si="5"/>
        <v>37.70744476204129</v>
      </c>
      <c r="E92" s="10">
        <v>0</v>
      </c>
      <c r="F92" s="21">
        <f t="shared" si="6"/>
        <v>2392.6759778343167</v>
      </c>
    </row>
    <row r="93" spans="2:6" ht="14.25">
      <c r="B93" s="10">
        <f t="shared" si="8"/>
        <v>19</v>
      </c>
      <c r="C93" s="21">
        <f t="shared" si="9"/>
        <v>2392.6759778343167</v>
      </c>
      <c r="D93" s="73">
        <f t="shared" si="5"/>
        <v>38.3112113816434</v>
      </c>
      <c r="E93" s="10">
        <v>0</v>
      </c>
      <c r="F93" s="21">
        <f t="shared" si="6"/>
        <v>2430.98718921596</v>
      </c>
    </row>
    <row r="94" spans="2:6" ht="14.25">
      <c r="B94" s="10">
        <f t="shared" si="8"/>
        <v>20</v>
      </c>
      <c r="C94" s="21">
        <f t="shared" si="9"/>
        <v>2430.98718921596</v>
      </c>
      <c r="D94" s="73">
        <f t="shared" si="5"/>
        <v>38.924645432524564</v>
      </c>
      <c r="E94" s="10">
        <v>0</v>
      </c>
      <c r="F94" s="21">
        <f t="shared" si="6"/>
        <v>2469.9118346484843</v>
      </c>
    </row>
    <row r="95" spans="2:6" ht="14.25">
      <c r="B95" s="10">
        <f t="shared" si="8"/>
        <v>21</v>
      </c>
      <c r="C95" s="21">
        <f t="shared" si="9"/>
        <v>2469.9118346484843</v>
      </c>
      <c r="D95" s="73">
        <f t="shared" si="5"/>
        <v>39.54790170831613</v>
      </c>
      <c r="E95" s="21">
        <f>+F47</f>
        <v>1000</v>
      </c>
      <c r="F95" s="21">
        <f t="shared" si="6"/>
        <v>1509.4597363568005</v>
      </c>
    </row>
    <row r="96" spans="2:6" ht="14.25">
      <c r="B96" s="10">
        <f t="shared" si="8"/>
        <v>22</v>
      </c>
      <c r="C96" s="21">
        <f t="shared" si="9"/>
        <v>1509.4597363568005</v>
      </c>
      <c r="D96" s="73">
        <f t="shared" si="5"/>
        <v>24.169269707797245</v>
      </c>
      <c r="E96" s="10">
        <v>0</v>
      </c>
      <c r="F96" s="21">
        <f t="shared" si="6"/>
        <v>1533.6290060645977</v>
      </c>
    </row>
    <row r="97" spans="2:6" ht="14.25">
      <c r="B97" s="10">
        <f t="shared" si="8"/>
        <v>23</v>
      </c>
      <c r="C97" s="21">
        <f t="shared" si="9"/>
        <v>1533.6290060645977</v>
      </c>
      <c r="D97" s="73">
        <f t="shared" si="5"/>
        <v>24.55626485853783</v>
      </c>
      <c r="E97" s="10">
        <v>0</v>
      </c>
      <c r="F97" s="21">
        <f t="shared" si="6"/>
        <v>1558.1852709231355</v>
      </c>
    </row>
    <row r="98" spans="2:6" ht="14.25">
      <c r="B98" s="10">
        <f t="shared" si="8"/>
        <v>24</v>
      </c>
      <c r="C98" s="21">
        <f t="shared" si="9"/>
        <v>1558.1852709231355</v>
      </c>
      <c r="D98" s="73">
        <f t="shared" si="5"/>
        <v>24.949456524461016</v>
      </c>
      <c r="E98" s="10">
        <v>0</v>
      </c>
      <c r="F98" s="21">
        <f t="shared" si="6"/>
        <v>1583.1347274475966</v>
      </c>
    </row>
    <row r="99" spans="2:6" ht="14.25">
      <c r="B99" s="10">
        <f t="shared" si="8"/>
        <v>25</v>
      </c>
      <c r="C99" s="21">
        <f t="shared" si="9"/>
        <v>1583.1347274475966</v>
      </c>
      <c r="D99" s="73">
        <f t="shared" si="5"/>
        <v>25.348943923348564</v>
      </c>
      <c r="E99" s="10">
        <v>0</v>
      </c>
      <c r="F99" s="21">
        <f t="shared" si="6"/>
        <v>1608.483671370945</v>
      </c>
    </row>
    <row r="100" spans="2:6" ht="14.25">
      <c r="B100" s="10">
        <f t="shared" si="8"/>
        <v>26</v>
      </c>
      <c r="C100" s="21">
        <f t="shared" si="9"/>
        <v>1608.483671370945</v>
      </c>
      <c r="D100" s="73">
        <f t="shared" si="5"/>
        <v>25.754827861644234</v>
      </c>
      <c r="E100" s="10">
        <v>0</v>
      </c>
      <c r="F100" s="21">
        <f t="shared" si="6"/>
        <v>1634.2384992325894</v>
      </c>
    </row>
    <row r="101" spans="2:6" ht="14.25">
      <c r="B101" s="10">
        <f t="shared" si="8"/>
        <v>27</v>
      </c>
      <c r="C101" s="21">
        <f t="shared" si="9"/>
        <v>1634.2384992325894</v>
      </c>
      <c r="D101" s="73">
        <f t="shared" si="5"/>
        <v>26.167210759891233</v>
      </c>
      <c r="E101" s="10">
        <v>0</v>
      </c>
      <c r="F101" s="21">
        <f t="shared" si="6"/>
        <v>1660.4057099924808</v>
      </c>
    </row>
    <row r="102" spans="2:6" ht="14.25">
      <c r="B102" s="10">
        <f t="shared" si="8"/>
        <v>28</v>
      </c>
      <c r="C102" s="21">
        <f t="shared" si="9"/>
        <v>1660.4057099924808</v>
      </c>
      <c r="D102" s="73">
        <f t="shared" si="5"/>
        <v>26.58619667857697</v>
      </c>
      <c r="E102" s="10">
        <v>0</v>
      </c>
      <c r="F102" s="21">
        <f t="shared" si="6"/>
        <v>1686.9919066710577</v>
      </c>
    </row>
    <row r="103" spans="2:6" ht="14.25">
      <c r="B103" s="10">
        <f t="shared" si="8"/>
        <v>29</v>
      </c>
      <c r="C103" s="21">
        <f t="shared" si="9"/>
        <v>1686.9919066710577</v>
      </c>
      <c r="D103" s="73">
        <f t="shared" si="5"/>
        <v>27.011891344391618</v>
      </c>
      <c r="E103" s="10">
        <v>0</v>
      </c>
      <c r="F103" s="21">
        <f t="shared" si="6"/>
        <v>1714.0037980154493</v>
      </c>
    </row>
    <row r="104" spans="2:6" ht="14.25">
      <c r="B104" s="10">
        <f t="shared" si="8"/>
        <v>30</v>
      </c>
      <c r="C104" s="21">
        <f t="shared" si="9"/>
        <v>1714.0037980154493</v>
      </c>
      <c r="D104" s="73">
        <f t="shared" si="5"/>
        <v>27.444402176907122</v>
      </c>
      <c r="E104" s="10">
        <v>0</v>
      </c>
      <c r="F104" s="21">
        <f t="shared" si="6"/>
        <v>1741.4482001923564</v>
      </c>
    </row>
    <row r="105" spans="2:6" ht="14.25">
      <c r="B105" s="10">
        <f t="shared" si="8"/>
        <v>31</v>
      </c>
      <c r="C105" s="21">
        <f t="shared" si="9"/>
        <v>1741.4482001923564</v>
      </c>
      <c r="D105" s="73">
        <f t="shared" si="5"/>
        <v>27.883838315683423</v>
      </c>
      <c r="E105" s="10">
        <v>0</v>
      </c>
      <c r="F105" s="21">
        <f t="shared" si="6"/>
        <v>1769.33203850804</v>
      </c>
    </row>
    <row r="106" spans="2:6" ht="14.25">
      <c r="B106" s="10">
        <f t="shared" si="8"/>
        <v>32</v>
      </c>
      <c r="C106" s="21">
        <f t="shared" si="9"/>
        <v>1769.33203850804</v>
      </c>
      <c r="D106" s="73">
        <f t="shared" si="5"/>
        <v>28.33031064780866</v>
      </c>
      <c r="E106" s="10">
        <v>0</v>
      </c>
      <c r="F106" s="21">
        <f t="shared" si="6"/>
        <v>1797.6623491558485</v>
      </c>
    </row>
    <row r="107" spans="2:6" ht="14.25">
      <c r="B107" s="10">
        <f t="shared" si="8"/>
        <v>33</v>
      </c>
      <c r="C107" s="21">
        <f t="shared" si="9"/>
        <v>1797.6623491558485</v>
      </c>
      <c r="D107" s="73">
        <f t="shared" si="5"/>
        <v>28.78393183588036</v>
      </c>
      <c r="E107" s="21">
        <f>+F48</f>
        <v>1000</v>
      </c>
      <c r="F107" s="21">
        <f t="shared" si="6"/>
        <v>826.4462809917288</v>
      </c>
    </row>
    <row r="108" spans="2:6" ht="14.25">
      <c r="B108" s="10">
        <f t="shared" si="8"/>
        <v>34</v>
      </c>
      <c r="C108" s="21">
        <f t="shared" si="9"/>
        <v>826.4462809917288</v>
      </c>
      <c r="D108" s="73">
        <f t="shared" si="5"/>
        <v>13.232948573047304</v>
      </c>
      <c r="E108" s="10">
        <v>0</v>
      </c>
      <c r="F108" s="21">
        <f t="shared" si="6"/>
        <v>839.6792295647762</v>
      </c>
    </row>
    <row r="109" spans="2:6" ht="14.25">
      <c r="B109" s="10">
        <f t="shared" si="8"/>
        <v>35</v>
      </c>
      <c r="C109" s="21">
        <f t="shared" si="9"/>
        <v>839.6792295647762</v>
      </c>
      <c r="D109" s="73">
        <f t="shared" si="5"/>
        <v>13.444832795850973</v>
      </c>
      <c r="E109" s="10">
        <v>0</v>
      </c>
      <c r="F109" s="21">
        <f t="shared" si="6"/>
        <v>853.1240623606271</v>
      </c>
    </row>
    <row r="110" spans="2:6" ht="14.25">
      <c r="B110" s="10">
        <f t="shared" si="8"/>
        <v>36</v>
      </c>
      <c r="C110" s="21">
        <f t="shared" si="9"/>
        <v>853.1240623606271</v>
      </c>
      <c r="D110" s="73">
        <f t="shared" si="5"/>
        <v>13.66010968081344</v>
      </c>
      <c r="E110" s="10">
        <v>0</v>
      </c>
      <c r="F110" s="21">
        <f t="shared" si="6"/>
        <v>866.7841720414406</v>
      </c>
    </row>
    <row r="111" spans="2:6" ht="14.25">
      <c r="B111" s="10">
        <f t="shared" si="8"/>
        <v>37</v>
      </c>
      <c r="C111" s="21">
        <f aca="true" t="shared" si="10" ref="C111:C119">+F110</f>
        <v>866.7841720414406</v>
      </c>
      <c r="D111" s="73">
        <f t="shared" si="5"/>
        <v>13.878833550792594</v>
      </c>
      <c r="E111" s="10">
        <v>0</v>
      </c>
      <c r="F111" s="21">
        <f t="shared" si="6"/>
        <v>880.6630055922332</v>
      </c>
    </row>
    <row r="112" spans="2:6" ht="14.25">
      <c r="B112" s="10">
        <f t="shared" si="8"/>
        <v>38</v>
      </c>
      <c r="C112" s="21">
        <f t="shared" si="10"/>
        <v>880.6630055922332</v>
      </c>
      <c r="D112" s="73">
        <f t="shared" si="5"/>
        <v>14.101059598456736</v>
      </c>
      <c r="E112" s="10">
        <v>0</v>
      </c>
      <c r="F112" s="21">
        <f t="shared" si="6"/>
        <v>894.7640651906898</v>
      </c>
    </row>
    <row r="113" spans="2:6" ht="14.25">
      <c r="B113" s="10">
        <f t="shared" si="8"/>
        <v>39</v>
      </c>
      <c r="C113" s="21">
        <f t="shared" si="10"/>
        <v>894.7640651906898</v>
      </c>
      <c r="D113" s="73">
        <f t="shared" si="5"/>
        <v>14.32684390021188</v>
      </c>
      <c r="E113" s="10">
        <v>0</v>
      </c>
      <c r="F113" s="21">
        <f t="shared" si="6"/>
        <v>909.0909090909017</v>
      </c>
    </row>
    <row r="114" spans="2:6" ht="14.25">
      <c r="B114" s="10">
        <f t="shared" si="8"/>
        <v>40</v>
      </c>
      <c r="C114" s="21">
        <f t="shared" si="10"/>
        <v>909.0909090909017</v>
      </c>
      <c r="D114" s="73">
        <f t="shared" si="5"/>
        <v>14.556243430352033</v>
      </c>
      <c r="E114" s="10">
        <v>0</v>
      </c>
      <c r="F114" s="21">
        <f t="shared" si="6"/>
        <v>923.6471525212538</v>
      </c>
    </row>
    <row r="115" spans="2:6" ht="14.25">
      <c r="B115" s="10">
        <f t="shared" si="8"/>
        <v>41</v>
      </c>
      <c r="C115" s="21">
        <f t="shared" si="10"/>
        <v>923.6471525212538</v>
      </c>
      <c r="D115" s="73">
        <f t="shared" si="5"/>
        <v>14.789316075436071</v>
      </c>
      <c r="E115" s="10">
        <v>0</v>
      </c>
      <c r="F115" s="21">
        <f t="shared" si="6"/>
        <v>938.4364685966899</v>
      </c>
    </row>
    <row r="116" spans="2:6" ht="14.25">
      <c r="B116" s="10">
        <f t="shared" si="8"/>
        <v>42</v>
      </c>
      <c r="C116" s="21">
        <f t="shared" si="10"/>
        <v>938.4364685966899</v>
      </c>
      <c r="D116" s="73">
        <f t="shared" si="5"/>
        <v>15.026120648894786</v>
      </c>
      <c r="E116" s="10">
        <v>0</v>
      </c>
      <c r="F116" s="21">
        <f t="shared" si="6"/>
        <v>953.4625892455847</v>
      </c>
    </row>
    <row r="117" spans="2:6" ht="14.25">
      <c r="B117" s="10">
        <f t="shared" si="8"/>
        <v>43</v>
      </c>
      <c r="C117" s="21">
        <f t="shared" si="10"/>
        <v>953.4625892455847</v>
      </c>
      <c r="D117" s="73">
        <f t="shared" si="5"/>
        <v>15.266716905871855</v>
      </c>
      <c r="E117" s="10">
        <v>0</v>
      </c>
      <c r="F117" s="21">
        <f t="shared" si="6"/>
        <v>968.7293061514565</v>
      </c>
    </row>
    <row r="118" spans="2:6" ht="14.25">
      <c r="B118" s="10">
        <f t="shared" si="8"/>
        <v>44</v>
      </c>
      <c r="C118" s="21">
        <f t="shared" si="10"/>
        <v>968.7293061514565</v>
      </c>
      <c r="D118" s="73">
        <f t="shared" si="5"/>
        <v>15.51116555830241</v>
      </c>
      <c r="E118" s="10">
        <v>0</v>
      </c>
      <c r="F118" s="21">
        <f t="shared" si="6"/>
        <v>984.2404717097589</v>
      </c>
    </row>
    <row r="119" spans="2:6" ht="14.25">
      <c r="B119" s="10">
        <f t="shared" si="8"/>
        <v>45</v>
      </c>
      <c r="C119" s="21">
        <f t="shared" si="10"/>
        <v>984.2404717097589</v>
      </c>
      <c r="D119" s="73">
        <f t="shared" si="5"/>
        <v>15.75952829023307</v>
      </c>
      <c r="E119" s="21">
        <f>+F49</f>
        <v>1000</v>
      </c>
      <c r="F119" s="21">
        <f t="shared" si="6"/>
        <v>-7.958078640513122E-12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68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.8515625" style="77" customWidth="1"/>
    <col min="2" max="2" width="32.57421875" style="77" customWidth="1"/>
    <col min="3" max="3" width="11.421875" style="77" customWidth="1"/>
    <col min="4" max="4" width="13.00390625" style="77" customWidth="1"/>
    <col min="5" max="5" width="19.140625" style="77" customWidth="1"/>
    <col min="6" max="16384" width="11.421875" style="77" customWidth="1"/>
  </cols>
  <sheetData>
    <row r="2" spans="2:8" ht="14.25">
      <c r="B2" s="25" t="s">
        <v>551</v>
      </c>
      <c r="E2" s="10"/>
      <c r="F2" s="10"/>
      <c r="G2" s="10"/>
      <c r="H2" s="10"/>
    </row>
    <row r="3" spans="5:8" ht="14.25">
      <c r="E3" s="10"/>
      <c r="F3" s="10"/>
      <c r="G3" s="10"/>
      <c r="H3" s="10"/>
    </row>
    <row r="4" spans="2:8" ht="14.25">
      <c r="B4" s="25" t="s">
        <v>82</v>
      </c>
      <c r="C4" s="77" t="s">
        <v>83</v>
      </c>
      <c r="E4" s="10"/>
      <c r="F4" s="10"/>
      <c r="G4" s="10"/>
      <c r="H4" s="10"/>
    </row>
    <row r="5" spans="5:8" ht="14.25">
      <c r="E5" s="10"/>
      <c r="F5" s="10"/>
      <c r="G5" s="10"/>
      <c r="H5" s="10"/>
    </row>
    <row r="6" spans="2:8" ht="14.25">
      <c r="B6" s="25" t="s">
        <v>428</v>
      </c>
      <c r="C6" s="77" t="s">
        <v>559</v>
      </c>
      <c r="E6" s="10"/>
      <c r="F6" s="10"/>
      <c r="G6" s="10"/>
      <c r="H6" s="10"/>
    </row>
    <row r="7" spans="5:8" ht="14.25">
      <c r="E7" s="10"/>
      <c r="F7" s="10"/>
      <c r="G7" s="10"/>
      <c r="H7" s="10"/>
    </row>
    <row r="8" spans="2:8" ht="14.25">
      <c r="B8" s="25" t="s">
        <v>560</v>
      </c>
      <c r="C8" s="77" t="s">
        <v>561</v>
      </c>
      <c r="E8" s="10"/>
      <c r="F8" s="10"/>
      <c r="G8" s="10"/>
      <c r="H8" s="10"/>
    </row>
    <row r="9" spans="2:8" ht="14.25">
      <c r="B9" s="25"/>
      <c r="C9" s="77" t="s">
        <v>562</v>
      </c>
      <c r="E9" s="10"/>
      <c r="F9" s="10"/>
      <c r="G9" s="10"/>
      <c r="H9" s="10"/>
    </row>
    <row r="10" spans="2:8" ht="14.25">
      <c r="B10" s="10"/>
      <c r="C10" s="77" t="s">
        <v>563</v>
      </c>
      <c r="D10" s="10"/>
      <c r="E10" s="10"/>
      <c r="F10" s="10"/>
      <c r="G10" s="10"/>
      <c r="H10" s="10"/>
    </row>
    <row r="11" spans="2:8" ht="14.25">
      <c r="B11" s="10"/>
      <c r="D11" s="10"/>
      <c r="E11" s="10"/>
      <c r="F11" s="10"/>
      <c r="G11" s="10"/>
      <c r="H11" s="10"/>
    </row>
    <row r="12" spans="2:8" ht="14.25">
      <c r="B12" s="25" t="s">
        <v>438</v>
      </c>
      <c r="C12" s="77" t="s">
        <v>564</v>
      </c>
      <c r="D12" s="10"/>
      <c r="E12" s="10"/>
      <c r="F12" s="10"/>
      <c r="G12" s="10"/>
      <c r="H12" s="10"/>
    </row>
    <row r="13" spans="2:8" ht="14.25">
      <c r="B13" s="10"/>
      <c r="C13" s="77" t="s">
        <v>565</v>
      </c>
      <c r="D13" s="10"/>
      <c r="E13" s="10"/>
      <c r="F13" s="10"/>
      <c r="G13" s="10"/>
      <c r="H13" s="10"/>
    </row>
    <row r="14" spans="2:8" ht="14.25">
      <c r="B14" s="10"/>
      <c r="C14" s="77" t="s">
        <v>566</v>
      </c>
      <c r="D14" s="10"/>
      <c r="E14" s="10"/>
      <c r="F14" s="10"/>
      <c r="G14" s="10"/>
      <c r="H14" s="10"/>
    </row>
    <row r="15" spans="2:8" ht="14.25">
      <c r="B15" s="10"/>
      <c r="C15" s="77" t="s">
        <v>567</v>
      </c>
      <c r="D15" s="10"/>
      <c r="E15" s="10"/>
      <c r="F15" s="10"/>
      <c r="G15" s="10"/>
      <c r="H15" s="10"/>
    </row>
    <row r="16" spans="2:8" ht="14.25">
      <c r="B16" s="10"/>
      <c r="C16" s="77" t="s">
        <v>568</v>
      </c>
      <c r="D16" s="10"/>
      <c r="E16" s="10"/>
      <c r="F16" s="10"/>
      <c r="G16" s="10"/>
      <c r="H16" s="10"/>
    </row>
    <row r="17" spans="2:8" ht="14.25">
      <c r="B17" s="10"/>
      <c r="D17" s="10"/>
      <c r="E17" s="10"/>
      <c r="F17" s="10"/>
      <c r="G17" s="10"/>
      <c r="H17" s="10"/>
    </row>
    <row r="18" spans="2:3" ht="14.25">
      <c r="B18" s="25" t="s">
        <v>85</v>
      </c>
      <c r="C18" s="77" t="s">
        <v>570</v>
      </c>
    </row>
    <row r="19" ht="14.25">
      <c r="B19" s="25"/>
    </row>
    <row r="20" spans="2:3" ht="14.25">
      <c r="B20" s="25"/>
      <c r="C20" s="77" t="s">
        <v>571</v>
      </c>
    </row>
    <row r="21" spans="2:3" ht="14.25">
      <c r="B21" s="25"/>
      <c r="C21" s="77" t="s">
        <v>569</v>
      </c>
    </row>
    <row r="22" ht="14.25">
      <c r="C22" s="77" t="s">
        <v>572</v>
      </c>
    </row>
    <row r="24" spans="2:5" ht="14.25">
      <c r="B24" s="77" t="s">
        <v>157</v>
      </c>
      <c r="E24" s="77">
        <f>+'HT Inicial'!C17</f>
        <v>3500</v>
      </c>
    </row>
    <row r="26" ht="14.25">
      <c r="B26" s="25" t="s">
        <v>573</v>
      </c>
    </row>
    <row r="28" ht="14.25">
      <c r="B28" s="77" t="s">
        <v>574</v>
      </c>
    </row>
    <row r="30" spans="2:7" ht="14.25">
      <c r="B30" s="77" t="s">
        <v>575</v>
      </c>
      <c r="F30" s="77">
        <v>2500</v>
      </c>
      <c r="G30" s="68" t="s">
        <v>67</v>
      </c>
    </row>
    <row r="32" spans="2:7" ht="14.25">
      <c r="B32" s="77" t="s">
        <v>577</v>
      </c>
      <c r="F32" s="77">
        <v>1000</v>
      </c>
      <c r="G32" s="68" t="s">
        <v>67</v>
      </c>
    </row>
    <row r="35" ht="14.25">
      <c r="B35" s="25" t="s">
        <v>576</v>
      </c>
    </row>
    <row r="37" ht="14.25">
      <c r="B37" s="77" t="s">
        <v>578</v>
      </c>
    </row>
    <row r="39" spans="2:4" ht="14.25">
      <c r="B39" s="77" t="s">
        <v>579</v>
      </c>
      <c r="C39" s="68">
        <v>0.4</v>
      </c>
      <c r="D39" s="77">
        <f>+F32*C39</f>
        <v>400</v>
      </c>
    </row>
    <row r="41" spans="2:3" ht="14.25">
      <c r="B41" s="77" t="s">
        <v>580</v>
      </c>
      <c r="C41" s="77" t="s">
        <v>581</v>
      </c>
    </row>
    <row r="43" spans="2:3" ht="15" thickBot="1">
      <c r="B43" s="25" t="s">
        <v>582</v>
      </c>
      <c r="C43" s="20">
        <f>+D39</f>
        <v>400</v>
      </c>
    </row>
    <row r="44" ht="15" thickTop="1"/>
    <row r="46" spans="2:5" ht="14.25">
      <c r="B46" s="77" t="s">
        <v>583</v>
      </c>
      <c r="D46" s="68">
        <v>0.6</v>
      </c>
      <c r="E46" s="77">
        <f>+D46*F32</f>
        <v>600</v>
      </c>
    </row>
    <row r="47" spans="2:5" ht="14.25">
      <c r="B47" s="77" t="s">
        <v>585</v>
      </c>
      <c r="C47" s="68">
        <v>0.5</v>
      </c>
      <c r="D47" s="68">
        <v>0.2</v>
      </c>
      <c r="E47" s="68">
        <v>0.3</v>
      </c>
    </row>
    <row r="48" spans="3:5" ht="14.25">
      <c r="C48" s="68"/>
      <c r="D48" s="68"/>
      <c r="E48" s="68"/>
    </row>
    <row r="49" spans="2:5" ht="14.25">
      <c r="B49" s="77" t="s">
        <v>587</v>
      </c>
      <c r="C49" s="68">
        <v>1</v>
      </c>
      <c r="D49" s="68">
        <v>1</v>
      </c>
      <c r="E49" s="68">
        <v>1</v>
      </c>
    </row>
    <row r="50" spans="2:6" ht="14.25">
      <c r="B50" s="77" t="s">
        <v>586</v>
      </c>
      <c r="C50" s="77">
        <f>+E46*C47</f>
        <v>300</v>
      </c>
      <c r="D50" s="77">
        <f>+D47*E46</f>
        <v>120</v>
      </c>
      <c r="E50" s="77">
        <f>+E46*E47</f>
        <v>180</v>
      </c>
      <c r="F50" s="77">
        <f>SUM(C50:E50)</f>
        <v>600</v>
      </c>
    </row>
    <row r="51" spans="2:6" ht="14.25">
      <c r="B51" s="77" t="s">
        <v>584</v>
      </c>
      <c r="C51" s="77">
        <f>+C50</f>
        <v>300</v>
      </c>
      <c r="D51" s="77">
        <f>+D50</f>
        <v>120</v>
      </c>
      <c r="E51" s="77">
        <f>+E50</f>
        <v>180</v>
      </c>
      <c r="F51" s="77">
        <f>SUM(C51:E51)</f>
        <v>600</v>
      </c>
    </row>
    <row r="52" spans="2:5" ht="14.25">
      <c r="B52" s="77" t="s">
        <v>588</v>
      </c>
      <c r="C52" s="77">
        <v>12</v>
      </c>
      <c r="D52" s="77">
        <v>14</v>
      </c>
      <c r="E52" s="77">
        <v>18</v>
      </c>
    </row>
    <row r="53" spans="2:5" ht="14.25">
      <c r="B53" s="77" t="s">
        <v>589</v>
      </c>
      <c r="C53" s="28">
        <v>0.15</v>
      </c>
      <c r="D53" s="28">
        <v>0.153</v>
      </c>
      <c r="E53" s="28">
        <v>0.16</v>
      </c>
    </row>
    <row r="54" spans="2:5" ht="14.25">
      <c r="B54" s="77" t="s">
        <v>161</v>
      </c>
      <c r="C54" s="77">
        <f>+C51/(1+C53)^(C52/12)</f>
        <v>260.8695652173913</v>
      </c>
      <c r="D54" s="77">
        <f>+D51/(1+D53)^(D52/12)</f>
        <v>101.63588056298838</v>
      </c>
      <c r="E54" s="77">
        <f>+E51/(1+E53)^(E52/12)</f>
        <v>144.07396927529888</v>
      </c>
    </row>
    <row r="55" spans="2:5" ht="14.25">
      <c r="B55" s="77" t="s">
        <v>590</v>
      </c>
      <c r="C55" s="77">
        <f>+C50</f>
        <v>300</v>
      </c>
      <c r="D55" s="77">
        <f>+D50</f>
        <v>120</v>
      </c>
      <c r="E55" s="77">
        <f>+E50</f>
        <v>180</v>
      </c>
    </row>
    <row r="56" spans="2:6" ht="14.25">
      <c r="B56" s="77" t="s">
        <v>158</v>
      </c>
      <c r="C56" s="77">
        <f>+C55-C54</f>
        <v>39.13043478260869</v>
      </c>
      <c r="D56" s="77">
        <f>+D55-D54</f>
        <v>18.364119437011624</v>
      </c>
      <c r="E56" s="77">
        <f>+E55-E54</f>
        <v>35.92603072470112</v>
      </c>
      <c r="F56" s="77">
        <f>SUM(C56:E56)</f>
        <v>93.42058494432143</v>
      </c>
    </row>
    <row r="59" spans="2:3" ht="14.25">
      <c r="B59" s="77" t="s">
        <v>591</v>
      </c>
      <c r="C59" s="77">
        <f>+C43+F56</f>
        <v>493.42058494432143</v>
      </c>
    </row>
    <row r="60" spans="2:3" ht="14.25">
      <c r="B60" s="77" t="s">
        <v>163</v>
      </c>
      <c r="C60" s="77">
        <f>-'HT Inicial'!C26</f>
        <v>150</v>
      </c>
    </row>
    <row r="61" spans="2:3" ht="14.25">
      <c r="B61" s="77" t="s">
        <v>164</v>
      </c>
      <c r="C61" s="77">
        <f>+C59-C60</f>
        <v>343.42058494432143</v>
      </c>
    </row>
    <row r="64" spans="2:5" ht="14.25">
      <c r="B64" s="9" t="s">
        <v>592</v>
      </c>
      <c r="E64" s="10"/>
    </row>
    <row r="65" ht="14.25">
      <c r="E65" s="10"/>
    </row>
    <row r="66" spans="2:5" ht="14.25">
      <c r="B66" s="14" t="s">
        <v>123</v>
      </c>
      <c r="C66" s="77">
        <f>+C61</f>
        <v>343.42058494432143</v>
      </c>
      <c r="E66" s="10"/>
    </row>
    <row r="67" spans="2:5" ht="14.25">
      <c r="B67" s="14" t="s">
        <v>165</v>
      </c>
      <c r="C67" s="77" t="s">
        <v>67</v>
      </c>
      <c r="D67" s="77">
        <f>+C66</f>
        <v>343.42058494432143</v>
      </c>
      <c r="E67" s="10"/>
    </row>
    <row r="68" spans="3:5" ht="15" thickBot="1">
      <c r="C68" s="20">
        <f>SUM(C66:C67)</f>
        <v>343.42058494432143</v>
      </c>
      <c r="D68" s="20">
        <f>SUM(D66:D67)</f>
        <v>343.42058494432143</v>
      </c>
      <c r="E68" s="10"/>
    </row>
    <row r="69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.421875" style="10" customWidth="1"/>
    <col min="2" max="2" width="39.57421875" style="10" customWidth="1"/>
    <col min="3" max="16384" width="11.57421875" style="10" customWidth="1"/>
  </cols>
  <sheetData>
    <row r="2" spans="2:4" ht="14.25">
      <c r="B2" s="25" t="s">
        <v>595</v>
      </c>
      <c r="C2" s="77"/>
      <c r="D2" s="77"/>
    </row>
    <row r="3" spans="2:4" ht="14.25">
      <c r="B3" s="77"/>
      <c r="C3" s="77"/>
      <c r="D3" s="77"/>
    </row>
    <row r="4" spans="2:4" ht="14.25">
      <c r="B4" s="25" t="s">
        <v>82</v>
      </c>
      <c r="C4" s="77" t="s">
        <v>83</v>
      </c>
      <c r="D4" s="77"/>
    </row>
    <row r="5" spans="2:4" ht="14.25">
      <c r="B5" s="77"/>
      <c r="C5" s="77"/>
      <c r="D5" s="77"/>
    </row>
    <row r="6" spans="2:4" ht="14.25">
      <c r="B6" s="25" t="s">
        <v>428</v>
      </c>
      <c r="C6" s="77" t="s">
        <v>596</v>
      </c>
      <c r="D6" s="77"/>
    </row>
    <row r="7" spans="2:4" ht="14.25">
      <c r="B7" s="77"/>
      <c r="C7" s="77"/>
      <c r="D7" s="77"/>
    </row>
    <row r="8" spans="2:4" ht="14.25">
      <c r="B8" s="25" t="s">
        <v>560</v>
      </c>
      <c r="C8" s="77" t="s">
        <v>597</v>
      </c>
      <c r="D8" s="77"/>
    </row>
    <row r="9" spans="2:4" ht="14.25">
      <c r="B9" s="77"/>
      <c r="C9" s="77" t="s">
        <v>598</v>
      </c>
      <c r="D9" s="77"/>
    </row>
    <row r="10" spans="2:4" ht="14.25">
      <c r="B10" s="77"/>
      <c r="C10" s="77" t="s">
        <v>599</v>
      </c>
      <c r="D10" s="77"/>
    </row>
    <row r="11" spans="2:4" ht="14.25">
      <c r="B11" s="77"/>
      <c r="C11" s="77"/>
      <c r="D11" s="77"/>
    </row>
    <row r="12" spans="2:4" ht="14.25">
      <c r="B12" s="25" t="s">
        <v>438</v>
      </c>
      <c r="C12" s="77" t="s">
        <v>600</v>
      </c>
      <c r="D12" s="77"/>
    </row>
    <row r="13" spans="2:4" ht="14.25">
      <c r="B13" s="25"/>
      <c r="C13" s="77" t="s">
        <v>601</v>
      </c>
      <c r="D13" s="77"/>
    </row>
    <row r="14" ht="14.25">
      <c r="C14" s="77" t="s">
        <v>602</v>
      </c>
    </row>
    <row r="15" ht="14.25">
      <c r="C15" s="77" t="s">
        <v>603</v>
      </c>
    </row>
    <row r="16" ht="14.25">
      <c r="C16" s="77" t="s">
        <v>604</v>
      </c>
    </row>
    <row r="17" ht="14.25">
      <c r="C17" s="77" t="s">
        <v>605</v>
      </c>
    </row>
    <row r="18" ht="14.25">
      <c r="C18" s="77" t="s">
        <v>606</v>
      </c>
    </row>
    <row r="19" ht="14.25">
      <c r="C19" s="77"/>
    </row>
    <row r="20" spans="2:3" ht="14.25">
      <c r="B20" s="9" t="s">
        <v>85</v>
      </c>
      <c r="C20" s="10" t="s">
        <v>67</v>
      </c>
    </row>
    <row r="21" ht="14.25">
      <c r="C21" s="10" t="s">
        <v>67</v>
      </c>
    </row>
    <row r="22" ht="14.25">
      <c r="B22" s="10" t="s">
        <v>111</v>
      </c>
    </row>
    <row r="23" spans="2:3" ht="14.25">
      <c r="B23" s="10" t="s">
        <v>611</v>
      </c>
      <c r="C23" s="21">
        <f>+C35</f>
        <v>8000</v>
      </c>
    </row>
    <row r="24" spans="2:3" ht="14.25">
      <c r="B24" s="77" t="s">
        <v>612</v>
      </c>
      <c r="C24" s="21">
        <f>+C55</f>
        <v>4900</v>
      </c>
    </row>
    <row r="25" spans="2:3" ht="14.25">
      <c r="B25" s="25" t="s">
        <v>613</v>
      </c>
      <c r="C25" s="45">
        <f>+C23+C24</f>
        <v>12900</v>
      </c>
    </row>
    <row r="26" ht="14.25">
      <c r="B26" s="25"/>
    </row>
    <row r="27" ht="14.25">
      <c r="B27" s="25"/>
    </row>
    <row r="28" ht="14.25">
      <c r="B28" s="9" t="s">
        <v>167</v>
      </c>
    </row>
    <row r="30" ht="14.25">
      <c r="B30" s="9" t="s">
        <v>168</v>
      </c>
    </row>
    <row r="31" spans="2:6" ht="14.25">
      <c r="B31" s="77"/>
      <c r="C31" s="77"/>
      <c r="D31" s="77"/>
      <c r="E31" s="77"/>
      <c r="F31" s="77"/>
    </row>
    <row r="32" spans="2:6" ht="14.25">
      <c r="B32" s="77" t="s">
        <v>169</v>
      </c>
      <c r="C32" s="77">
        <v>7000</v>
      </c>
      <c r="D32" s="77" t="s">
        <v>607</v>
      </c>
      <c r="E32" s="77"/>
      <c r="F32" s="77"/>
    </row>
    <row r="33" spans="2:6" ht="14.25">
      <c r="B33" s="77" t="s">
        <v>170</v>
      </c>
      <c r="C33" s="77">
        <v>800</v>
      </c>
      <c r="D33" s="77"/>
      <c r="E33" s="77"/>
      <c r="F33" s="77"/>
    </row>
    <row r="34" spans="2:6" ht="14.25">
      <c r="B34" s="77" t="s">
        <v>171</v>
      </c>
      <c r="C34" s="77">
        <v>200</v>
      </c>
      <c r="D34" s="77" t="s">
        <v>173</v>
      </c>
      <c r="E34" s="77"/>
      <c r="F34" s="77"/>
    </row>
    <row r="35" spans="2:6" ht="14.25">
      <c r="B35" s="25" t="s">
        <v>172</v>
      </c>
      <c r="C35" s="25">
        <f>SUM(C32:C34)</f>
        <v>8000</v>
      </c>
      <c r="D35" s="77"/>
      <c r="E35" s="77"/>
      <c r="F35" s="77"/>
    </row>
    <row r="36" spans="2:6" ht="14.25">
      <c r="B36" s="77"/>
      <c r="C36" s="77"/>
      <c r="D36" s="77"/>
      <c r="E36" s="77"/>
      <c r="F36" s="77"/>
    </row>
    <row r="37" spans="2:6" ht="14.25">
      <c r="B37" s="25" t="s">
        <v>608</v>
      </c>
      <c r="C37" s="77"/>
      <c r="D37" s="77"/>
      <c r="E37" s="77"/>
      <c r="F37" s="77"/>
    </row>
    <row r="38" spans="2:6" ht="14.25">
      <c r="B38" s="77" t="s">
        <v>174</v>
      </c>
      <c r="C38" s="77">
        <f>+C32*0.9</f>
        <v>6300</v>
      </c>
      <c r="D38" s="77"/>
      <c r="E38" s="77"/>
      <c r="F38" s="77"/>
    </row>
    <row r="39" spans="2:6" ht="14.25">
      <c r="B39" s="77" t="s">
        <v>170</v>
      </c>
      <c r="C39" s="77">
        <v>800</v>
      </c>
      <c r="D39" s="77"/>
      <c r="E39" s="77"/>
      <c r="F39" s="77"/>
    </row>
    <row r="40" spans="2:6" ht="14.25">
      <c r="B40" s="25" t="s">
        <v>175</v>
      </c>
      <c r="C40" s="25">
        <f>+C38+C39</f>
        <v>7100</v>
      </c>
      <c r="D40" s="77"/>
      <c r="E40" s="77"/>
      <c r="F40" s="77"/>
    </row>
    <row r="41" spans="2:6" ht="14.25">
      <c r="B41" s="77" t="s">
        <v>176</v>
      </c>
      <c r="C41" s="77">
        <f>+C35</f>
        <v>8000</v>
      </c>
      <c r="D41" s="77"/>
      <c r="E41" s="77"/>
      <c r="F41" s="77"/>
    </row>
    <row r="42" spans="2:6" ht="14.25">
      <c r="B42" s="25" t="s">
        <v>609</v>
      </c>
      <c r="C42" s="25">
        <f>+C40-C41</f>
        <v>-900</v>
      </c>
      <c r="D42" s="77"/>
      <c r="E42" s="77"/>
      <c r="F42" s="77"/>
    </row>
    <row r="43" spans="2:6" ht="14.25">
      <c r="B43" s="77"/>
      <c r="C43" s="77"/>
      <c r="D43" s="77"/>
      <c r="E43" s="77"/>
      <c r="F43" s="77"/>
    </row>
    <row r="44" spans="2:6" ht="14.25">
      <c r="B44" s="25" t="s">
        <v>443</v>
      </c>
      <c r="C44" s="77"/>
      <c r="D44" s="77"/>
      <c r="E44" s="77"/>
      <c r="F44" s="77"/>
    </row>
    <row r="45" spans="2:6" ht="14.25">
      <c r="B45" s="77"/>
      <c r="C45" s="77"/>
      <c r="D45" s="77"/>
      <c r="E45" s="77"/>
      <c r="F45" s="77"/>
    </row>
    <row r="46" spans="2:6" ht="14.25">
      <c r="B46" s="14" t="s">
        <v>123</v>
      </c>
      <c r="C46" s="77">
        <f>-C42</f>
        <v>900</v>
      </c>
      <c r="D46" s="77"/>
      <c r="E46" s="77"/>
      <c r="F46" s="77"/>
    </row>
    <row r="47" spans="2:6" ht="14.25">
      <c r="B47" s="14" t="s">
        <v>177</v>
      </c>
      <c r="C47" s="77" t="s">
        <v>67</v>
      </c>
      <c r="D47" s="77">
        <f>+C46</f>
        <v>900</v>
      </c>
      <c r="E47" s="77"/>
      <c r="F47" s="77"/>
    </row>
    <row r="48" spans="2:6" ht="15" thickBot="1">
      <c r="B48" s="77"/>
      <c r="C48" s="20">
        <f>SUM(C46:C47)</f>
        <v>900</v>
      </c>
      <c r="D48" s="20">
        <f>SUM(D46:D47)</f>
        <v>900</v>
      </c>
      <c r="E48" s="77"/>
      <c r="F48" s="77"/>
    </row>
    <row r="49" spans="2:6" ht="15" thickTop="1">
      <c r="B49" s="77"/>
      <c r="C49" s="77"/>
      <c r="D49" s="77"/>
      <c r="E49" s="77"/>
      <c r="F49" s="77"/>
    </row>
    <row r="50" spans="2:6" ht="14.25">
      <c r="B50" s="77"/>
      <c r="C50" s="77"/>
      <c r="D50" s="77"/>
      <c r="E50" s="77"/>
      <c r="F50" s="77"/>
    </row>
    <row r="51" spans="2:6" ht="14.25">
      <c r="B51" s="25" t="s">
        <v>178</v>
      </c>
      <c r="C51" s="77"/>
      <c r="D51" s="77"/>
      <c r="E51" s="77"/>
      <c r="F51" s="77"/>
    </row>
    <row r="52" spans="2:6" ht="14.25">
      <c r="B52" s="77"/>
      <c r="C52" s="77"/>
      <c r="D52" s="77"/>
      <c r="E52" s="77"/>
      <c r="F52" s="77"/>
    </row>
    <row r="53" spans="2:6" ht="14.25">
      <c r="B53" s="77" t="s">
        <v>179</v>
      </c>
      <c r="C53" s="77">
        <v>4000</v>
      </c>
      <c r="D53" s="77" t="s">
        <v>180</v>
      </c>
      <c r="E53" s="77"/>
      <c r="F53" s="77"/>
    </row>
    <row r="54" spans="2:6" ht="14.25">
      <c r="B54" s="77" t="s">
        <v>181</v>
      </c>
      <c r="C54" s="77">
        <v>900</v>
      </c>
      <c r="D54" s="77" t="s">
        <v>173</v>
      </c>
      <c r="E54" s="77"/>
      <c r="F54" s="77"/>
    </row>
    <row r="55" spans="2:6" ht="14.25">
      <c r="B55" s="25" t="s">
        <v>172</v>
      </c>
      <c r="C55" s="25">
        <f>+C53+C54</f>
        <v>4900</v>
      </c>
      <c r="D55" s="77" t="s">
        <v>67</v>
      </c>
      <c r="E55" s="77"/>
      <c r="F55" s="77"/>
    </row>
    <row r="56" spans="2:6" ht="14.25">
      <c r="B56" s="77"/>
      <c r="C56" s="77"/>
      <c r="D56" s="77"/>
      <c r="E56" s="77"/>
      <c r="F56" s="77"/>
    </row>
    <row r="57" spans="2:6" ht="14.25">
      <c r="B57" s="25" t="s">
        <v>608</v>
      </c>
      <c r="C57" s="77"/>
      <c r="D57" s="77"/>
      <c r="E57" s="77"/>
      <c r="F57" s="77"/>
    </row>
    <row r="58" spans="2:6" ht="14.25">
      <c r="B58" s="77" t="s">
        <v>182</v>
      </c>
      <c r="C58" s="77">
        <v>3600</v>
      </c>
      <c r="D58" s="77"/>
      <c r="E58" s="77"/>
      <c r="F58" s="77"/>
    </row>
    <row r="59" spans="2:6" ht="14.25">
      <c r="B59" s="77" t="s">
        <v>183</v>
      </c>
      <c r="C59" s="77">
        <f>+C53*0.15</f>
        <v>600</v>
      </c>
      <c r="D59" s="77"/>
      <c r="E59" s="77"/>
      <c r="F59" s="77"/>
    </row>
    <row r="60" spans="2:6" ht="14.25">
      <c r="B60" s="25" t="s">
        <v>175</v>
      </c>
      <c r="C60" s="25">
        <f>+C58+C59</f>
        <v>4200</v>
      </c>
      <c r="D60" s="77"/>
      <c r="E60" s="77"/>
      <c r="F60" s="77"/>
    </row>
    <row r="61" spans="2:6" ht="14.25">
      <c r="B61" s="77" t="s">
        <v>163</v>
      </c>
      <c r="C61" s="77">
        <f>+C55</f>
        <v>4900</v>
      </c>
      <c r="D61" s="77"/>
      <c r="E61" s="77"/>
      <c r="F61" s="77"/>
    </row>
    <row r="62" spans="2:6" ht="14.25">
      <c r="B62" s="77" t="s">
        <v>184</v>
      </c>
      <c r="C62" s="77">
        <f>+C60-C61</f>
        <v>-700</v>
      </c>
      <c r="D62" s="77"/>
      <c r="E62" s="77"/>
      <c r="F62" s="77"/>
    </row>
    <row r="63" spans="2:6" ht="14.25">
      <c r="B63" s="77"/>
      <c r="C63" s="77"/>
      <c r="D63" s="77"/>
      <c r="E63" s="77"/>
      <c r="F63" s="77"/>
    </row>
    <row r="64" spans="2:6" ht="14.25">
      <c r="B64" s="25" t="s">
        <v>443</v>
      </c>
      <c r="C64" s="77"/>
      <c r="D64" s="77"/>
      <c r="E64" s="77"/>
      <c r="F64" s="77"/>
    </row>
    <row r="65" spans="2:6" ht="14.25">
      <c r="B65" s="77"/>
      <c r="C65" s="77"/>
      <c r="D65" s="77"/>
      <c r="E65" s="77"/>
      <c r="F65" s="77"/>
    </row>
    <row r="66" spans="2:6" ht="14.25">
      <c r="B66" s="14" t="s">
        <v>123</v>
      </c>
      <c r="C66" s="77">
        <f>-C62</f>
        <v>700</v>
      </c>
      <c r="D66" s="77"/>
      <c r="E66" s="77"/>
      <c r="F66" s="77"/>
    </row>
    <row r="67" spans="2:6" ht="14.25">
      <c r="B67" s="14" t="s">
        <v>177</v>
      </c>
      <c r="C67" s="77" t="s">
        <v>67</v>
      </c>
      <c r="D67" s="77">
        <f>+C66</f>
        <v>700</v>
      </c>
      <c r="E67" s="77"/>
      <c r="F67" s="77"/>
    </row>
    <row r="68" spans="2:6" ht="15" thickBot="1">
      <c r="B68" s="77"/>
      <c r="C68" s="20">
        <f>SUM(C66:C67)</f>
        <v>700</v>
      </c>
      <c r="D68" s="20">
        <f>SUM(D66:D67)</f>
        <v>700</v>
      </c>
      <c r="E68" s="77"/>
      <c r="F68" s="77"/>
    </row>
    <row r="69" spans="2:6" ht="15" thickTop="1">
      <c r="B69" s="77"/>
      <c r="C69" s="77"/>
      <c r="D69" s="77"/>
      <c r="E69" s="77"/>
      <c r="F69" s="77"/>
    </row>
    <row r="70" spans="2:6" ht="14.25">
      <c r="B70" s="77"/>
      <c r="C70" s="77"/>
      <c r="D70" s="77"/>
      <c r="E70" s="77"/>
      <c r="F70" s="77"/>
    </row>
    <row r="71" spans="2:6" ht="14.25">
      <c r="B71" s="25" t="s">
        <v>615</v>
      </c>
      <c r="C71" s="77"/>
      <c r="D71" s="77"/>
      <c r="E71" s="77"/>
      <c r="F71" s="77"/>
    </row>
    <row r="72" spans="2:6" ht="14.25">
      <c r="B72" s="77"/>
      <c r="C72" s="77"/>
      <c r="D72" s="77"/>
      <c r="E72" s="77"/>
      <c r="F72" s="77"/>
    </row>
    <row r="73" spans="2:6" ht="14.25">
      <c r="B73" s="10" t="s">
        <v>611</v>
      </c>
      <c r="C73" s="77">
        <f>+C40</f>
        <v>7100</v>
      </c>
      <c r="D73" s="77"/>
      <c r="E73" s="77"/>
      <c r="F73" s="77"/>
    </row>
    <row r="74" spans="2:6" ht="14.25">
      <c r="B74" s="77" t="s">
        <v>612</v>
      </c>
      <c r="C74" s="77">
        <f>+C60</f>
        <v>4200</v>
      </c>
      <c r="D74" s="77"/>
      <c r="E74" s="77"/>
      <c r="F74" s="77"/>
    </row>
    <row r="75" spans="2:6" ht="14.25">
      <c r="B75" s="25" t="s">
        <v>616</v>
      </c>
      <c r="C75" s="25">
        <f>+C73+C74</f>
        <v>11300</v>
      </c>
      <c r="D75" s="77"/>
      <c r="E75" s="77"/>
      <c r="F75" s="77"/>
    </row>
    <row r="76" spans="2:6" ht="14.25">
      <c r="B76" s="77"/>
      <c r="C76" s="77"/>
      <c r="D76" s="77"/>
      <c r="E76" s="77"/>
      <c r="F76" s="77"/>
    </row>
    <row r="77" spans="2:6" ht="14.25">
      <c r="B77" s="77"/>
      <c r="C77" s="77"/>
      <c r="D77" s="77"/>
      <c r="E77" s="77"/>
      <c r="F77" s="77"/>
    </row>
    <row r="78" spans="2:6" ht="14.25">
      <c r="B78" s="77"/>
      <c r="C78" s="77"/>
      <c r="D78" s="77"/>
      <c r="E78" s="77"/>
      <c r="F78" s="77"/>
    </row>
    <row r="79" spans="2:6" ht="14.25">
      <c r="B79" s="77"/>
      <c r="C79" s="77"/>
      <c r="D79" s="77"/>
      <c r="E79" s="77"/>
      <c r="F79" s="77"/>
    </row>
    <row r="80" spans="2:6" ht="14.25">
      <c r="B80" s="77"/>
      <c r="C80" s="77"/>
      <c r="D80" s="77"/>
      <c r="E80" s="77"/>
      <c r="F80" s="77"/>
    </row>
    <row r="81" spans="2:6" ht="14.25">
      <c r="B81" s="77"/>
      <c r="C81" s="77"/>
      <c r="D81" s="77"/>
      <c r="E81" s="77"/>
      <c r="F81" s="77"/>
    </row>
    <row r="82" spans="2:6" ht="14.25">
      <c r="B82" s="77"/>
      <c r="C82" s="77"/>
      <c r="D82" s="77"/>
      <c r="E82" s="77"/>
      <c r="F82" s="77"/>
    </row>
    <row r="83" spans="2:6" ht="14.25">
      <c r="B83" s="77"/>
      <c r="C83" s="77"/>
      <c r="D83" s="77"/>
      <c r="E83" s="77"/>
      <c r="F83" s="77"/>
    </row>
    <row r="84" spans="2:6" ht="14.25">
      <c r="B84" s="77"/>
      <c r="C84" s="77"/>
      <c r="D84" s="77"/>
      <c r="E84" s="77"/>
      <c r="F84" s="77"/>
    </row>
    <row r="85" spans="2:6" ht="14.25">
      <c r="B85" s="77"/>
      <c r="C85" s="77"/>
      <c r="D85" s="77"/>
      <c r="E85" s="77"/>
      <c r="F85" s="77"/>
    </row>
    <row r="86" spans="2:6" ht="14.25">
      <c r="B86" s="77"/>
      <c r="C86" s="77"/>
      <c r="D86" s="77"/>
      <c r="E86" s="77"/>
      <c r="F86" s="77"/>
    </row>
    <row r="87" spans="2:6" ht="14.25">
      <c r="B87" s="77"/>
      <c r="C87" s="77"/>
      <c r="D87" s="77"/>
      <c r="E87" s="77"/>
      <c r="F87" s="77"/>
    </row>
    <row r="88" spans="2:6" ht="14.25">
      <c r="B88" s="77"/>
      <c r="C88" s="77"/>
      <c r="D88" s="77"/>
      <c r="E88" s="77"/>
      <c r="F88" s="77"/>
    </row>
    <row r="89" spans="2:6" ht="14.25">
      <c r="B89" s="77"/>
      <c r="C89" s="77"/>
      <c r="D89" s="77"/>
      <c r="E89" s="77"/>
      <c r="F89" s="7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42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.28125" style="10" customWidth="1"/>
    <col min="2" max="2" width="34.7109375" style="10" customWidth="1"/>
    <col min="3" max="3" width="23.8515625" style="10" customWidth="1"/>
    <col min="4" max="4" width="11.57421875" style="10" bestFit="1" customWidth="1"/>
    <col min="5" max="16384" width="11.57421875" style="10" customWidth="1"/>
  </cols>
  <sheetData>
    <row r="2" spans="2:4" ht="14.25">
      <c r="B2" s="25" t="s">
        <v>595</v>
      </c>
      <c r="C2" s="77"/>
      <c r="D2" s="77"/>
    </row>
    <row r="3" spans="2:4" ht="14.25">
      <c r="B3" s="77"/>
      <c r="C3" s="77"/>
      <c r="D3" s="77"/>
    </row>
    <row r="4" spans="2:4" ht="14.25">
      <c r="B4" s="25" t="s">
        <v>82</v>
      </c>
      <c r="C4" s="77" t="s">
        <v>83</v>
      </c>
      <c r="D4" s="77"/>
    </row>
    <row r="5" spans="2:4" ht="14.25">
      <c r="B5" s="77"/>
      <c r="C5" s="77"/>
      <c r="D5" s="77"/>
    </row>
    <row r="6" spans="2:4" ht="14.25">
      <c r="B6" s="25" t="s">
        <v>428</v>
      </c>
      <c r="C6" s="77" t="s">
        <v>596</v>
      </c>
      <c r="D6" s="77"/>
    </row>
    <row r="7" spans="2:4" ht="14.25">
      <c r="B7" s="77"/>
      <c r="C7" s="77"/>
      <c r="D7" s="77"/>
    </row>
    <row r="8" spans="2:4" ht="14.25">
      <c r="B8" s="25" t="s">
        <v>560</v>
      </c>
      <c r="C8" s="77" t="s">
        <v>597</v>
      </c>
      <c r="D8" s="77"/>
    </row>
    <row r="9" spans="2:4" ht="14.25">
      <c r="B9" s="77"/>
      <c r="C9" s="77" t="s">
        <v>598</v>
      </c>
      <c r="D9" s="77"/>
    </row>
    <row r="10" spans="2:4" ht="14.25">
      <c r="B10" s="77"/>
      <c r="C10" s="77" t="s">
        <v>599</v>
      </c>
      <c r="D10" s="77"/>
    </row>
    <row r="11" spans="2:4" ht="14.25">
      <c r="B11" s="77"/>
      <c r="C11" s="77"/>
      <c r="D11" s="77"/>
    </row>
    <row r="12" spans="2:4" ht="14.25">
      <c r="B12" s="25" t="s">
        <v>438</v>
      </c>
      <c r="C12" s="77" t="s">
        <v>600</v>
      </c>
      <c r="D12" s="77"/>
    </row>
    <row r="13" spans="2:4" ht="14.25">
      <c r="B13" s="25"/>
      <c r="C13" s="77" t="s">
        <v>601</v>
      </c>
      <c r="D13" s="77"/>
    </row>
    <row r="14" ht="14.25">
      <c r="C14" s="77" t="s">
        <v>602</v>
      </c>
    </row>
    <row r="15" ht="14.25">
      <c r="C15" s="77" t="s">
        <v>603</v>
      </c>
    </row>
    <row r="16" ht="14.25">
      <c r="C16" s="25" t="s">
        <v>604</v>
      </c>
    </row>
    <row r="17" ht="14.25">
      <c r="C17" s="77" t="s">
        <v>605</v>
      </c>
    </row>
    <row r="18" ht="14.25">
      <c r="C18" s="77" t="s">
        <v>606</v>
      </c>
    </row>
    <row r="19" ht="14.25">
      <c r="C19" s="77"/>
    </row>
    <row r="20" spans="2:3" ht="14.25">
      <c r="B20" s="9" t="s">
        <v>85</v>
      </c>
      <c r="C20" s="10" t="s">
        <v>67</v>
      </c>
    </row>
    <row r="21" ht="14.25">
      <c r="C21" s="10" t="s">
        <v>67</v>
      </c>
    </row>
    <row r="22" spans="2:3" ht="14.25">
      <c r="B22" s="9" t="s">
        <v>187</v>
      </c>
      <c r="C22" s="77" t="s">
        <v>67</v>
      </c>
    </row>
    <row r="23" ht="15.75">
      <c r="C23" s="76" t="s">
        <v>140</v>
      </c>
    </row>
    <row r="24" spans="2:3" ht="14.25">
      <c r="B24" s="10" t="s">
        <v>189</v>
      </c>
      <c r="C24" s="77">
        <v>40000</v>
      </c>
    </row>
    <row r="25" spans="2:3" ht="14.25">
      <c r="B25" s="10" t="s">
        <v>188</v>
      </c>
      <c r="C25" s="77">
        <v>35000</v>
      </c>
    </row>
    <row r="26" spans="2:3" ht="14.25">
      <c r="B26" s="10" t="s">
        <v>190</v>
      </c>
      <c r="C26" s="77">
        <v>37954</v>
      </c>
    </row>
    <row r="27" spans="2:3" ht="14.25">
      <c r="B27" s="9" t="s">
        <v>191</v>
      </c>
      <c r="C27" s="25">
        <f>SUM(C24:C26)</f>
        <v>112954</v>
      </c>
    </row>
    <row r="28" ht="14.25">
      <c r="C28" s="77"/>
    </row>
    <row r="29" spans="2:3" ht="14.25">
      <c r="B29" s="9" t="s">
        <v>192</v>
      </c>
      <c r="C29" s="77"/>
    </row>
    <row r="30" ht="14.25">
      <c r="C30" s="77"/>
    </row>
    <row r="31" spans="2:3" ht="14.25">
      <c r="B31" s="77" t="s">
        <v>193</v>
      </c>
      <c r="C31" s="77">
        <f>+C27</f>
        <v>112954</v>
      </c>
    </row>
    <row r="32" spans="2:4" ht="14.25">
      <c r="B32" s="77" t="s">
        <v>194</v>
      </c>
      <c r="C32" s="77">
        <v>-9000</v>
      </c>
      <c r="D32" s="10" t="s">
        <v>617</v>
      </c>
    </row>
    <row r="33" spans="2:3" ht="14.25">
      <c r="B33" s="77" t="s">
        <v>195</v>
      </c>
      <c r="C33" s="77">
        <v>6000</v>
      </c>
    </row>
    <row r="34" spans="2:3" ht="14.25">
      <c r="B34" s="9" t="s">
        <v>618</v>
      </c>
      <c r="C34" s="25">
        <f>SUM(C31:C33)</f>
        <v>109954</v>
      </c>
    </row>
    <row r="35" spans="2:3" ht="14.25">
      <c r="B35" s="10" t="s">
        <v>172</v>
      </c>
      <c r="C35" s="77">
        <f>+C27</f>
        <v>112954</v>
      </c>
    </row>
    <row r="36" spans="2:3" ht="14.25">
      <c r="B36" s="9" t="s">
        <v>184</v>
      </c>
      <c r="C36" s="25">
        <f>+C34-C35</f>
        <v>-3000</v>
      </c>
    </row>
    <row r="38" spans="2:4" ht="14.25">
      <c r="B38" s="25" t="s">
        <v>96</v>
      </c>
      <c r="C38" s="77"/>
      <c r="D38" s="77"/>
    </row>
    <row r="39" spans="2:4" ht="14.25">
      <c r="B39" s="77"/>
      <c r="C39" s="77"/>
      <c r="D39" s="77"/>
    </row>
    <row r="40" spans="2:4" ht="14.25">
      <c r="B40" s="14" t="s">
        <v>123</v>
      </c>
      <c r="C40" s="77">
        <f>-C36</f>
        <v>3000</v>
      </c>
      <c r="D40" s="77"/>
    </row>
    <row r="41" spans="2:4" ht="14.25">
      <c r="B41" s="14" t="s">
        <v>197</v>
      </c>
      <c r="C41" s="77" t="s">
        <v>67</v>
      </c>
      <c r="D41" s="77">
        <f>+C40</f>
        <v>3000</v>
      </c>
    </row>
    <row r="42" spans="2:4" ht="15" thickBot="1">
      <c r="B42" s="77"/>
      <c r="C42" s="20">
        <f>SUM(C40:C41)</f>
        <v>3000</v>
      </c>
      <c r="D42" s="20">
        <f>SUM(D40:D41)</f>
        <v>3000</v>
      </c>
    </row>
    <row r="43" ht="1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44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5"/>
  <cols>
    <col min="1" max="1" width="4.7109375" style="77" customWidth="1"/>
    <col min="2" max="2" width="13.57421875" style="77" customWidth="1"/>
    <col min="3" max="3" width="11.421875" style="77" customWidth="1"/>
    <col min="4" max="4" width="14.00390625" style="77" customWidth="1"/>
    <col min="5" max="5" width="11.421875" style="77" customWidth="1"/>
    <col min="6" max="6" width="12.7109375" style="77" customWidth="1"/>
    <col min="7" max="16384" width="11.421875" style="77" customWidth="1"/>
  </cols>
  <sheetData>
    <row r="2" spans="2:10" ht="14.25">
      <c r="B2" s="25" t="s">
        <v>595</v>
      </c>
      <c r="E2" s="10"/>
      <c r="F2" s="10"/>
      <c r="G2" s="10"/>
      <c r="H2" s="10"/>
      <c r="I2" s="10"/>
      <c r="J2" s="10"/>
    </row>
    <row r="3" spans="5:10" ht="14.25">
      <c r="E3" s="10"/>
      <c r="F3" s="10"/>
      <c r="G3" s="10"/>
      <c r="H3" s="10"/>
      <c r="I3" s="10"/>
      <c r="J3" s="10"/>
    </row>
    <row r="4" spans="2:10" ht="14.25">
      <c r="B4" s="25" t="s">
        <v>82</v>
      </c>
      <c r="C4" s="77" t="s">
        <v>83</v>
      </c>
      <c r="E4" s="10"/>
      <c r="F4" s="10"/>
      <c r="G4" s="10"/>
      <c r="H4" s="10"/>
      <c r="I4" s="10"/>
      <c r="J4" s="10"/>
    </row>
    <row r="5" spans="5:10" ht="14.25">
      <c r="E5" s="10"/>
      <c r="F5" s="10"/>
      <c r="G5" s="10"/>
      <c r="H5" s="10"/>
      <c r="I5" s="10"/>
      <c r="J5" s="10"/>
    </row>
    <row r="6" spans="2:10" ht="14.25">
      <c r="B6" s="25" t="s">
        <v>428</v>
      </c>
      <c r="C6" s="77" t="s">
        <v>621</v>
      </c>
      <c r="E6" s="10"/>
      <c r="F6" s="10"/>
      <c r="G6" s="10"/>
      <c r="H6" s="10"/>
      <c r="I6" s="10"/>
      <c r="J6" s="10"/>
    </row>
    <row r="7" spans="5:10" ht="14.25">
      <c r="E7" s="10"/>
      <c r="F7" s="10"/>
      <c r="G7" s="10"/>
      <c r="H7" s="10"/>
      <c r="I7" s="10"/>
      <c r="J7" s="10"/>
    </row>
    <row r="8" spans="2:10" ht="14.25">
      <c r="B8" s="25" t="s">
        <v>438</v>
      </c>
      <c r="C8" s="77" t="s">
        <v>620</v>
      </c>
      <c r="E8" s="10"/>
      <c r="F8" s="10"/>
      <c r="G8" s="10"/>
      <c r="H8" s="10"/>
      <c r="I8" s="10"/>
      <c r="J8" s="10"/>
    </row>
    <row r="9" spans="2:10" ht="14.25">
      <c r="B9" s="25"/>
      <c r="E9" s="10"/>
      <c r="F9" s="10"/>
      <c r="G9" s="10"/>
      <c r="H9" s="10"/>
      <c r="I9" s="10"/>
      <c r="J9" s="10"/>
    </row>
    <row r="10" spans="2:3" ht="14.25">
      <c r="B10" s="25" t="s">
        <v>622</v>
      </c>
      <c r="C10" s="77" t="s">
        <v>623</v>
      </c>
    </row>
    <row r="11" ht="14.25">
      <c r="C11" s="77" t="s">
        <v>624</v>
      </c>
    </row>
    <row r="12" ht="14.25">
      <c r="C12" s="77" t="s">
        <v>625</v>
      </c>
    </row>
    <row r="14" spans="2:3" ht="14.25">
      <c r="B14" s="25" t="s">
        <v>85</v>
      </c>
      <c r="C14" s="77" t="s">
        <v>626</v>
      </c>
    </row>
    <row r="15" ht="14.25">
      <c r="C15" s="77" t="s">
        <v>628</v>
      </c>
    </row>
    <row r="16" ht="14.25">
      <c r="C16" s="77" t="s">
        <v>627</v>
      </c>
    </row>
    <row r="18" ht="14.25">
      <c r="B18" s="25" t="s">
        <v>199</v>
      </c>
    </row>
    <row r="19" spans="7:8" ht="14.25">
      <c r="G19" s="68">
        <v>0.1</v>
      </c>
      <c r="H19" s="68">
        <v>0.25</v>
      </c>
    </row>
    <row r="20" spans="2:12" ht="15.75">
      <c r="B20" s="76" t="s">
        <v>629</v>
      </c>
      <c r="C20" s="76" t="s">
        <v>91</v>
      </c>
      <c r="D20" s="62" t="s">
        <v>632</v>
      </c>
      <c r="E20" s="76" t="s">
        <v>630</v>
      </c>
      <c r="F20" s="62" t="s">
        <v>631</v>
      </c>
      <c r="G20" s="76" t="s">
        <v>200</v>
      </c>
      <c r="H20" s="76" t="s">
        <v>201</v>
      </c>
      <c r="I20" s="76" t="s">
        <v>634</v>
      </c>
      <c r="J20" s="76" t="s">
        <v>202</v>
      </c>
      <c r="K20" s="76" t="s">
        <v>635</v>
      </c>
      <c r="L20" s="76" t="s">
        <v>636</v>
      </c>
    </row>
    <row r="21" spans="2:12" ht="14.25">
      <c r="B21" s="77">
        <v>1</v>
      </c>
      <c r="C21" s="77">
        <v>5000</v>
      </c>
      <c r="D21" s="77">
        <v>1</v>
      </c>
      <c r="E21" s="77">
        <f>+C21*D21</f>
        <v>5000</v>
      </c>
      <c r="F21" s="77">
        <v>1</v>
      </c>
      <c r="G21" s="73">
        <f>+F21*G19</f>
        <v>0.1</v>
      </c>
      <c r="I21" s="73">
        <f>+F21-G21</f>
        <v>0.9</v>
      </c>
      <c r="J21" s="73">
        <f>+I21</f>
        <v>0.9</v>
      </c>
      <c r="K21" s="77">
        <f>+J21*C21</f>
        <v>4500</v>
      </c>
      <c r="L21" s="77">
        <f>+K21-E21</f>
        <v>-500</v>
      </c>
    </row>
    <row r="22" spans="2:12" ht="14.25">
      <c r="B22" s="77">
        <v>2</v>
      </c>
      <c r="C22" s="77">
        <v>1500</v>
      </c>
      <c r="D22" s="77">
        <v>2</v>
      </c>
      <c r="E22" s="77">
        <f>+C22*D22</f>
        <v>3000</v>
      </c>
      <c r="F22" s="39">
        <v>1.8</v>
      </c>
      <c r="G22" s="73">
        <f>+F22*G19</f>
        <v>0.18000000000000002</v>
      </c>
      <c r="H22" s="73">
        <f>+F22*H19</f>
        <v>0.45</v>
      </c>
      <c r="I22" s="73">
        <f>+F22-G22-H22</f>
        <v>1.1700000000000002</v>
      </c>
      <c r="J22" s="73">
        <f>+I22</f>
        <v>1.1700000000000002</v>
      </c>
      <c r="K22" s="77">
        <f>+J22*C22</f>
        <v>1755.0000000000002</v>
      </c>
      <c r="L22" s="77">
        <f>+K22-E22</f>
        <v>-1244.9999999999998</v>
      </c>
    </row>
    <row r="23" spans="9:12" ht="14.25">
      <c r="I23" s="73" t="s">
        <v>67</v>
      </c>
      <c r="J23" s="73" t="s">
        <v>67</v>
      </c>
      <c r="L23" s="25">
        <f>+L21+L22</f>
        <v>-1744.9999999999998</v>
      </c>
    </row>
    <row r="24" spans="9:10" ht="14.25">
      <c r="I24" s="77" t="s">
        <v>67</v>
      </c>
      <c r="J24" s="77" t="s">
        <v>67</v>
      </c>
    </row>
    <row r="26" ht="14.25">
      <c r="B26" s="77" t="s">
        <v>633</v>
      </c>
    </row>
    <row r="27" ht="14.25">
      <c r="B27" s="77" t="s">
        <v>641</v>
      </c>
    </row>
    <row r="28" ht="14.25">
      <c r="B28" s="77" t="s">
        <v>637</v>
      </c>
    </row>
    <row r="30" ht="14.25">
      <c r="B30" s="25" t="s">
        <v>639</v>
      </c>
    </row>
    <row r="32" spans="2:3" ht="14.25">
      <c r="B32" s="14" t="s">
        <v>123</v>
      </c>
      <c r="C32" s="77">
        <f>-L23</f>
        <v>1744.9999999999998</v>
      </c>
    </row>
    <row r="33" spans="2:5" ht="14.25">
      <c r="B33" s="14" t="s">
        <v>197</v>
      </c>
      <c r="C33" s="77" t="s">
        <v>67</v>
      </c>
      <c r="D33" s="77">
        <f>+C32</f>
        <v>1744.9999999999998</v>
      </c>
      <c r="E33" s="77" t="s">
        <v>67</v>
      </c>
    </row>
    <row r="34" spans="3:4" ht="15" thickBot="1">
      <c r="C34" s="20">
        <f>SUM(C32:C33)</f>
        <v>1744.9999999999998</v>
      </c>
      <c r="D34" s="20">
        <f>SUM(D32:D33)</f>
        <v>1744.9999999999998</v>
      </c>
    </row>
    <row r="35" ht="15" thickTop="1"/>
    <row r="36" ht="14.25">
      <c r="B36" s="77" t="s">
        <v>638</v>
      </c>
    </row>
    <row r="38" spans="2:4" ht="14.25">
      <c r="B38" s="77" t="s">
        <v>203</v>
      </c>
      <c r="D38" s="77">
        <f>-'HT Inicial'!C31</f>
        <v>1200</v>
      </c>
    </row>
    <row r="40" ht="14.25">
      <c r="B40" s="25" t="s">
        <v>640</v>
      </c>
    </row>
    <row r="41" ht="14.25">
      <c r="B41" s="25"/>
    </row>
    <row r="42" spans="2:3" ht="14.25">
      <c r="B42" s="14" t="s">
        <v>204</v>
      </c>
      <c r="C42" s="77">
        <f>+D38</f>
        <v>1200</v>
      </c>
    </row>
    <row r="43" spans="2:4" ht="14.25">
      <c r="B43" s="14" t="s">
        <v>99</v>
      </c>
      <c r="C43" s="77" t="s">
        <v>67</v>
      </c>
      <c r="D43" s="77">
        <f>+C42</f>
        <v>1200</v>
      </c>
    </row>
    <row r="44" spans="3:4" ht="15" thickBot="1">
      <c r="C44" s="20">
        <f>SUM(C42:C43)</f>
        <v>1200</v>
      </c>
      <c r="D44" s="20">
        <f>SUM(D42:D43)</f>
        <v>1200</v>
      </c>
    </row>
    <row r="45" ht="15" thickTop="1"/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1.57421875" style="10" customWidth="1"/>
    <col min="2" max="2" width="27.140625" style="10" customWidth="1"/>
    <col min="3" max="16384" width="11.57421875" style="10" customWidth="1"/>
  </cols>
  <sheetData>
    <row r="2" spans="2:4" ht="14.25">
      <c r="B2" s="25" t="s">
        <v>595</v>
      </c>
      <c r="C2" s="77"/>
      <c r="D2" s="77"/>
    </row>
    <row r="3" spans="2:4" ht="14.25">
      <c r="B3" s="77"/>
      <c r="C3" s="77"/>
      <c r="D3" s="77"/>
    </row>
    <row r="4" spans="2:4" ht="14.25">
      <c r="B4" s="25" t="s">
        <v>82</v>
      </c>
      <c r="C4" s="77" t="s">
        <v>83</v>
      </c>
      <c r="D4" s="77"/>
    </row>
    <row r="5" spans="2:4" ht="14.25">
      <c r="B5" s="77"/>
      <c r="C5" s="77"/>
      <c r="D5" s="77"/>
    </row>
    <row r="6" spans="2:4" ht="14.25">
      <c r="B6" s="25" t="s">
        <v>428</v>
      </c>
      <c r="C6" s="77" t="s">
        <v>645</v>
      </c>
      <c r="D6" s="77"/>
    </row>
    <row r="7" spans="2:4" ht="14.25">
      <c r="B7" s="77"/>
      <c r="C7" s="77"/>
      <c r="D7" s="77"/>
    </row>
    <row r="8" spans="2:4" ht="14.25">
      <c r="B8" s="25" t="s">
        <v>438</v>
      </c>
      <c r="C8" s="77" t="s">
        <v>646</v>
      </c>
      <c r="D8" s="77"/>
    </row>
    <row r="9" spans="2:4" ht="14.25">
      <c r="B9" s="25"/>
      <c r="C9" s="77"/>
      <c r="D9" s="77"/>
    </row>
    <row r="10" spans="2:6" ht="14.25">
      <c r="B10" s="25" t="s">
        <v>85</v>
      </c>
      <c r="C10" s="77" t="s">
        <v>647</v>
      </c>
      <c r="D10" s="77"/>
      <c r="E10" s="77"/>
      <c r="F10" s="77"/>
    </row>
    <row r="12" spans="2:4" ht="14.25">
      <c r="B12" s="25" t="s">
        <v>96</v>
      </c>
      <c r="C12" s="77"/>
      <c r="D12" s="77"/>
    </row>
    <row r="13" spans="2:4" ht="14.25">
      <c r="B13" s="77"/>
      <c r="C13" s="77"/>
      <c r="D13" s="77"/>
    </row>
    <row r="14" spans="2:4" ht="14.25">
      <c r="B14" s="14" t="s">
        <v>123</v>
      </c>
      <c r="C14" s="77">
        <f>'HT Inicial'!C32</f>
        <v>900</v>
      </c>
      <c r="D14" s="77"/>
    </row>
    <row r="15" spans="2:4" ht="14.25">
      <c r="B15" s="14" t="s">
        <v>206</v>
      </c>
      <c r="C15" s="77" t="s">
        <v>67</v>
      </c>
      <c r="D15" s="77">
        <f>+C14</f>
        <v>900</v>
      </c>
    </row>
    <row r="16" spans="2:4" ht="15" thickBot="1">
      <c r="B16" s="77"/>
      <c r="C16" s="20">
        <f>SUM(C14:C15)</f>
        <v>900</v>
      </c>
      <c r="D16" s="20">
        <f>SUM(D14:D15)</f>
        <v>900</v>
      </c>
    </row>
    <row r="17" ht="15" thickTop="1"/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53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4.140625" style="10" customWidth="1"/>
    <col min="2" max="2" width="31.421875" style="10" customWidth="1"/>
    <col min="3" max="16384" width="11.421875" style="10" customWidth="1"/>
  </cols>
  <sheetData>
    <row r="2" spans="2:3" s="40" customFormat="1" ht="14.25">
      <c r="B2" s="9" t="s">
        <v>249</v>
      </c>
      <c r="C2" s="10"/>
    </row>
    <row r="3" spans="2:3" s="40" customFormat="1" ht="14.25">
      <c r="B3" s="10"/>
      <c r="C3" s="10"/>
    </row>
    <row r="4" spans="2:3" s="40" customFormat="1" ht="14.25">
      <c r="B4" s="9" t="s">
        <v>82</v>
      </c>
      <c r="C4" s="10" t="s">
        <v>649</v>
      </c>
    </row>
    <row r="5" spans="2:3" s="40" customFormat="1" ht="14.25">
      <c r="B5" s="10"/>
      <c r="C5" s="10" t="s">
        <v>250</v>
      </c>
    </row>
    <row r="6" spans="2:3" s="51" customFormat="1" ht="14.25">
      <c r="B6" s="10"/>
      <c r="C6" s="10"/>
    </row>
    <row r="7" spans="2:3" s="40" customFormat="1" ht="14.25">
      <c r="B7" s="10" t="s">
        <v>650</v>
      </c>
      <c r="C7" s="10" t="s">
        <v>656</v>
      </c>
    </row>
    <row r="8" spans="2:3" s="40" customFormat="1" ht="14.25">
      <c r="B8" s="10"/>
      <c r="C8" s="10" t="s">
        <v>655</v>
      </c>
    </row>
    <row r="9" spans="2:3" s="51" customFormat="1" ht="14.25">
      <c r="B9" s="10"/>
      <c r="C9" s="10"/>
    </row>
    <row r="10" spans="2:3" s="40" customFormat="1" ht="14.25">
      <c r="B10" s="9" t="s">
        <v>85</v>
      </c>
      <c r="C10" s="10" t="s">
        <v>251</v>
      </c>
    </row>
    <row r="11" s="40" customFormat="1" ht="14.25">
      <c r="C11" s="40" t="s">
        <v>252</v>
      </c>
    </row>
    <row r="12" ht="14.25">
      <c r="C12" s="10" t="s">
        <v>253</v>
      </c>
    </row>
    <row r="13" ht="14.25">
      <c r="C13" s="10" t="s">
        <v>254</v>
      </c>
    </row>
    <row r="15" ht="14.25">
      <c r="B15" s="9" t="s">
        <v>651</v>
      </c>
    </row>
    <row r="17" spans="3:6" ht="14.25">
      <c r="C17" s="11" t="s">
        <v>215</v>
      </c>
      <c r="D17" s="12" t="s">
        <v>210</v>
      </c>
      <c r="E17" s="12" t="s">
        <v>158</v>
      </c>
      <c r="F17" s="12" t="s">
        <v>211</v>
      </c>
    </row>
    <row r="18" spans="2:6" ht="14.25">
      <c r="B18" s="13" t="s">
        <v>27</v>
      </c>
      <c r="C18" s="40"/>
      <c r="D18" s="40"/>
      <c r="E18" s="40"/>
      <c r="F18" s="40"/>
    </row>
    <row r="19" spans="2:6" ht="14.25">
      <c r="B19" s="13" t="s">
        <v>28</v>
      </c>
      <c r="C19" s="14">
        <v>15000</v>
      </c>
      <c r="D19" s="40"/>
      <c r="E19" s="40">
        <v>-1600</v>
      </c>
      <c r="F19" s="40">
        <f aca="true" t="shared" si="0" ref="F19:F24">SUM(C19:E19)</f>
        <v>13400</v>
      </c>
    </row>
    <row r="20" spans="2:6" ht="14.25">
      <c r="B20" s="13" t="s">
        <v>29</v>
      </c>
      <c r="C20" s="14">
        <v>20290</v>
      </c>
      <c r="D20" s="40"/>
      <c r="E20" s="40"/>
      <c r="F20" s="40">
        <f t="shared" si="0"/>
        <v>20290</v>
      </c>
    </row>
    <row r="21" spans="2:6" ht="14.25">
      <c r="B21" s="13" t="s">
        <v>30</v>
      </c>
      <c r="C21" s="15">
        <v>112300</v>
      </c>
      <c r="D21" s="40">
        <v>-32940</v>
      </c>
      <c r="E21" s="40"/>
      <c r="F21" s="40">
        <f t="shared" si="0"/>
        <v>79360</v>
      </c>
    </row>
    <row r="22" spans="2:6" ht="14.25">
      <c r="B22" s="13" t="s">
        <v>31</v>
      </c>
      <c r="C22" s="15">
        <v>54000</v>
      </c>
      <c r="D22" s="40">
        <v>-8100</v>
      </c>
      <c r="E22" s="40"/>
      <c r="F22" s="40">
        <f t="shared" si="0"/>
        <v>45900</v>
      </c>
    </row>
    <row r="23" spans="2:6" ht="14.25">
      <c r="B23" s="13" t="s">
        <v>32</v>
      </c>
      <c r="C23" s="15">
        <v>3000</v>
      </c>
      <c r="D23" s="40">
        <v>-600</v>
      </c>
      <c r="E23" s="40"/>
      <c r="F23" s="40">
        <f t="shared" si="0"/>
        <v>2400</v>
      </c>
    </row>
    <row r="24" spans="2:6" ht="14.25">
      <c r="B24" s="13" t="s">
        <v>35</v>
      </c>
      <c r="C24" s="15">
        <v>7000</v>
      </c>
      <c r="D24" s="40" t="s">
        <v>67</v>
      </c>
      <c r="E24" s="40"/>
      <c r="F24" s="40">
        <f t="shared" si="0"/>
        <v>7000</v>
      </c>
    </row>
    <row r="25" spans="2:6" ht="14.25">
      <c r="B25" s="16" t="s">
        <v>226</v>
      </c>
      <c r="C25" s="17">
        <f>SUM(C19:C24)</f>
        <v>211590</v>
      </c>
      <c r="D25" s="17">
        <f>SUM(D19:D24)</f>
        <v>-41640</v>
      </c>
      <c r="E25" s="17">
        <f>SUM(E19:E24)</f>
        <v>-1600</v>
      </c>
      <c r="F25" s="17">
        <f>SUM(F19:F24)</f>
        <v>168350</v>
      </c>
    </row>
    <row r="26" spans="4:6" ht="14.25">
      <c r="D26" s="40"/>
      <c r="E26" s="40"/>
      <c r="F26" s="40"/>
    </row>
    <row r="27" spans="3:6" ht="14.25">
      <c r="C27" s="40"/>
      <c r="D27" s="40"/>
      <c r="E27" s="40"/>
      <c r="F27" s="40"/>
    </row>
    <row r="28" ht="14.25">
      <c r="B28" s="9" t="s">
        <v>652</v>
      </c>
    </row>
    <row r="29" ht="14.25">
      <c r="B29" s="9"/>
    </row>
    <row r="30" spans="3:5" ht="14.25">
      <c r="C30" s="12" t="s">
        <v>209</v>
      </c>
      <c r="D30" s="12" t="s">
        <v>210</v>
      </c>
      <c r="E30" s="12" t="s">
        <v>211</v>
      </c>
    </row>
    <row r="31" spans="2:5" ht="14.25">
      <c r="B31" s="10" t="s">
        <v>213</v>
      </c>
      <c r="C31" s="47">
        <v>6000</v>
      </c>
      <c r="D31" s="47">
        <v>4200</v>
      </c>
      <c r="E31" s="47">
        <f>+C31-D31</f>
        <v>1800</v>
      </c>
    </row>
    <row r="32" spans="2:5" ht="14.25">
      <c r="B32" s="10" t="s">
        <v>208</v>
      </c>
      <c r="C32" s="47">
        <v>90000</v>
      </c>
      <c r="D32" s="47">
        <v>18000</v>
      </c>
      <c r="E32" s="47">
        <f>+C32-D32</f>
        <v>72000</v>
      </c>
    </row>
    <row r="33" spans="2:5" ht="14.25">
      <c r="B33" s="10" t="s">
        <v>416</v>
      </c>
      <c r="C33" s="47">
        <v>16300</v>
      </c>
      <c r="D33" s="47">
        <v>10740</v>
      </c>
      <c r="E33" s="47">
        <f>+C33-D33</f>
        <v>5560</v>
      </c>
    </row>
    <row r="34" spans="2:5" ht="14.25">
      <c r="B34" s="9" t="s">
        <v>162</v>
      </c>
      <c r="C34" s="25">
        <f>SUM(C31:C33)</f>
        <v>112300</v>
      </c>
      <c r="D34" s="25">
        <f>SUM(D31:D33)</f>
        <v>32940</v>
      </c>
      <c r="E34" s="25">
        <f>SUM(E31:E33)</f>
        <v>79360</v>
      </c>
    </row>
    <row r="37" ht="14.25">
      <c r="B37" s="9" t="s">
        <v>653</v>
      </c>
    </row>
    <row r="38" ht="14.25">
      <c r="B38" s="9"/>
    </row>
    <row r="39" ht="14.25">
      <c r="C39" s="12" t="s">
        <v>216</v>
      </c>
    </row>
    <row r="40" ht="14.25">
      <c r="B40" s="13" t="s">
        <v>418</v>
      </c>
    </row>
    <row r="41" spans="2:4" ht="14.25">
      <c r="B41" s="13" t="s">
        <v>419</v>
      </c>
      <c r="C41" s="49">
        <f>+Inmuebles!D20</f>
        <v>6600</v>
      </c>
      <c r="D41" s="10" t="s">
        <v>878</v>
      </c>
    </row>
    <row r="42" spans="2:3" ht="14.25">
      <c r="B42" s="47" t="s">
        <v>220</v>
      </c>
      <c r="C42" s="49">
        <f>+Inmuebles!D24</f>
        <v>1000</v>
      </c>
    </row>
    <row r="43" spans="2:3" ht="14.25">
      <c r="B43" s="47" t="s">
        <v>221</v>
      </c>
      <c r="C43" s="49">
        <f>+Inmuebles!D25</f>
        <v>18000</v>
      </c>
    </row>
    <row r="44" spans="2:4" ht="14.25">
      <c r="B44" s="47" t="s">
        <v>222</v>
      </c>
      <c r="C44" s="49">
        <v>5200</v>
      </c>
      <c r="D44" s="10" t="s">
        <v>878</v>
      </c>
    </row>
    <row r="45" spans="2:3" ht="14.25">
      <c r="B45" s="13"/>
      <c r="C45" s="25">
        <f>SUM(C41:C44)</f>
        <v>30800</v>
      </c>
    </row>
    <row r="46" spans="2:3" ht="14.25">
      <c r="B46" s="13"/>
      <c r="C46" s="25"/>
    </row>
    <row r="47" spans="2:3" ht="14.25">
      <c r="B47" s="10" t="s">
        <v>417</v>
      </c>
      <c r="C47" s="49"/>
    </row>
    <row r="48" spans="2:3" ht="14.25">
      <c r="B48" s="10" t="s">
        <v>213</v>
      </c>
      <c r="C48" s="49">
        <f>+Inmuebles!D62</f>
        <v>4500</v>
      </c>
    </row>
    <row r="49" spans="2:3" ht="14.25">
      <c r="B49" s="10" t="s">
        <v>208</v>
      </c>
      <c r="C49" s="49">
        <f>+Inmuebles!D63</f>
        <v>160000</v>
      </c>
    </row>
    <row r="50" spans="2:5" ht="14.25">
      <c r="B50" s="10" t="s">
        <v>416</v>
      </c>
      <c r="C50" s="49">
        <v>53000</v>
      </c>
      <c r="D50" s="21" t="s">
        <v>878</v>
      </c>
      <c r="E50" s="21">
        <f>+C50+C44+C41</f>
        <v>64800</v>
      </c>
    </row>
    <row r="51" ht="14.25">
      <c r="C51" s="25">
        <f>SUM(C48:C50)</f>
        <v>217500</v>
      </c>
    </row>
    <row r="52" ht="14.25">
      <c r="C52" s="49"/>
    </row>
    <row r="53" spans="2:3" ht="14.25">
      <c r="B53" s="13" t="s">
        <v>265</v>
      </c>
      <c r="C53" s="25">
        <f>+Maqui!C26</f>
        <v>65000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G119"/>
  <sheetViews>
    <sheetView zoomScale="90" zoomScaleNormal="90" zoomScalePageLayoutView="0" workbookViewId="0" topLeftCell="A1">
      <selection activeCell="B16" sqref="B16"/>
    </sheetView>
  </sheetViews>
  <sheetFormatPr defaultColWidth="11.421875" defaultRowHeight="15"/>
  <cols>
    <col min="1" max="1" width="5.00390625" style="10" customWidth="1"/>
    <col min="2" max="2" width="42.28125" style="10" customWidth="1"/>
    <col min="3" max="3" width="13.421875" style="10" customWidth="1"/>
    <col min="4" max="16384" width="11.57421875" style="10" customWidth="1"/>
  </cols>
  <sheetData>
    <row r="2" ht="14.25">
      <c r="D2" s="10" t="s">
        <v>67</v>
      </c>
    </row>
    <row r="3" ht="14.25">
      <c r="B3" s="9" t="s">
        <v>415</v>
      </c>
    </row>
    <row r="4" spans="2:6" ht="14.25">
      <c r="B4" s="9"/>
      <c r="F4" s="29"/>
    </row>
    <row r="5" spans="2:6" ht="14.25">
      <c r="B5" s="9"/>
      <c r="F5" s="29" t="s">
        <v>149</v>
      </c>
    </row>
    <row r="6" spans="3:6" ht="14.25">
      <c r="C6" s="12" t="s">
        <v>209</v>
      </c>
      <c r="D6" s="12" t="s">
        <v>210</v>
      </c>
      <c r="E6" s="12" t="s">
        <v>211</v>
      </c>
      <c r="F6" s="12" t="s">
        <v>212</v>
      </c>
    </row>
    <row r="7" spans="2:6" ht="14.25">
      <c r="B7" s="10" t="s">
        <v>213</v>
      </c>
      <c r="C7" s="77">
        <v>6000</v>
      </c>
      <c r="D7" s="77">
        <v>4200</v>
      </c>
      <c r="E7" s="77">
        <f>+C7-D7</f>
        <v>1800</v>
      </c>
      <c r="F7" s="10">
        <v>20</v>
      </c>
    </row>
    <row r="8" spans="2:6" ht="14.25">
      <c r="B8" s="10" t="s">
        <v>208</v>
      </c>
      <c r="C8" s="77">
        <v>90000</v>
      </c>
      <c r="D8" s="77">
        <v>18000</v>
      </c>
      <c r="E8" s="77">
        <f>+C8-D8</f>
        <v>72000</v>
      </c>
      <c r="F8" s="10">
        <v>20</v>
      </c>
    </row>
    <row r="9" spans="2:6" ht="14.25">
      <c r="B9" s="10" t="s">
        <v>416</v>
      </c>
      <c r="C9" s="77">
        <v>16300</v>
      </c>
      <c r="D9" s="77">
        <v>10740</v>
      </c>
      <c r="E9" s="77">
        <f>+C9-D9</f>
        <v>5560</v>
      </c>
      <c r="F9" s="10">
        <v>20</v>
      </c>
    </row>
    <row r="10" spans="2:5" ht="14.25">
      <c r="B10" s="9" t="s">
        <v>162</v>
      </c>
      <c r="C10" s="25">
        <f>SUM(C7:C9)</f>
        <v>112300</v>
      </c>
      <c r="D10" s="25">
        <f>SUM(D7:D9)</f>
        <v>32940</v>
      </c>
      <c r="E10" s="25">
        <f>SUM(E7:E9)</f>
        <v>79360</v>
      </c>
    </row>
    <row r="11" spans="3:5" ht="14.25">
      <c r="C11" s="77"/>
      <c r="D11" s="77"/>
      <c r="E11" s="77"/>
    </row>
    <row r="12" spans="3:6" ht="14.25">
      <c r="C12" s="11" t="s">
        <v>215</v>
      </c>
      <c r="D12" s="12" t="s">
        <v>210</v>
      </c>
      <c r="E12" s="12" t="s">
        <v>158</v>
      </c>
      <c r="F12" s="12" t="s">
        <v>211</v>
      </c>
    </row>
    <row r="13" spans="2:6" ht="14.25">
      <c r="B13" s="13" t="s">
        <v>27</v>
      </c>
      <c r="C13" s="77"/>
      <c r="D13" s="77"/>
      <c r="E13" s="77"/>
      <c r="F13" s="77"/>
    </row>
    <row r="14" spans="2:6" ht="14.25">
      <c r="B14" s="13" t="s">
        <v>28</v>
      </c>
      <c r="C14" s="14">
        <v>15000</v>
      </c>
      <c r="D14" s="77"/>
      <c r="E14" s="77">
        <v>-1600</v>
      </c>
      <c r="F14" s="77">
        <f>SUM(C14:E14)</f>
        <v>13400</v>
      </c>
    </row>
    <row r="16" spans="2:7" ht="14.25">
      <c r="B16" s="77"/>
      <c r="C16" s="77"/>
      <c r="D16" s="77"/>
      <c r="E16" s="77"/>
      <c r="F16" s="77"/>
      <c r="G16" s="77"/>
    </row>
    <row r="17" spans="2:7" ht="14.25">
      <c r="B17" s="25" t="s">
        <v>668</v>
      </c>
      <c r="C17" s="77"/>
      <c r="D17" s="77"/>
      <c r="E17" s="77"/>
      <c r="F17" s="77"/>
      <c r="G17" s="77"/>
    </row>
    <row r="18" spans="2:7" ht="14.25">
      <c r="B18" s="25"/>
      <c r="C18" s="77"/>
      <c r="D18" s="77"/>
      <c r="E18" s="77"/>
      <c r="F18" s="77"/>
      <c r="G18" s="77"/>
    </row>
    <row r="19" spans="2:6" ht="15.75">
      <c r="B19" s="77"/>
      <c r="C19" s="76" t="s">
        <v>140</v>
      </c>
      <c r="D19" s="76" t="s">
        <v>216</v>
      </c>
      <c r="E19" s="30" t="s">
        <v>217</v>
      </c>
      <c r="F19" s="30" t="s">
        <v>657</v>
      </c>
    </row>
    <row r="20" spans="2:6" ht="14.25">
      <c r="B20" s="77" t="s">
        <v>654</v>
      </c>
      <c r="C20" s="77">
        <v>2522</v>
      </c>
      <c r="D20" s="77">
        <v>6600</v>
      </c>
      <c r="E20" s="77">
        <f>+D20-C20</f>
        <v>4078</v>
      </c>
      <c r="F20" s="77" t="s">
        <v>307</v>
      </c>
    </row>
    <row r="21" spans="2:6" ht="14.25">
      <c r="B21" s="25" t="s">
        <v>218</v>
      </c>
      <c r="C21" s="25">
        <f>+C20</f>
        <v>2522</v>
      </c>
      <c r="D21" s="25">
        <f>+D20</f>
        <v>6600</v>
      </c>
      <c r="E21" s="25">
        <f>+E20</f>
        <v>4078</v>
      </c>
      <c r="F21" s="77"/>
    </row>
    <row r="22" spans="2:7" ht="14.25">
      <c r="B22" s="77"/>
      <c r="C22" s="77"/>
      <c r="D22" s="77"/>
      <c r="E22" s="77"/>
      <c r="F22" s="77"/>
      <c r="G22" s="21">
        <f>+D20+D26+D64</f>
        <v>64800</v>
      </c>
    </row>
    <row r="23" spans="2:6" ht="14.25">
      <c r="B23" s="77" t="s">
        <v>219</v>
      </c>
      <c r="D23" s="77"/>
      <c r="E23" s="77"/>
      <c r="F23" s="77"/>
    </row>
    <row r="24" spans="2:6" ht="14.25">
      <c r="B24" s="77" t="s">
        <v>220</v>
      </c>
      <c r="C24" s="77">
        <f>+C7/0.9*10%</f>
        <v>666.6666666666666</v>
      </c>
      <c r="D24" s="77">
        <v>1000</v>
      </c>
      <c r="E24" s="77">
        <f>+D24-C24</f>
        <v>333.33333333333337</v>
      </c>
      <c r="F24" s="77" t="s">
        <v>404</v>
      </c>
    </row>
    <row r="25" spans="2:6" ht="14.25">
      <c r="B25" s="77" t="s">
        <v>221</v>
      </c>
      <c r="C25" s="77">
        <f>+C8/0.9*10%</f>
        <v>10000</v>
      </c>
      <c r="D25" s="77">
        <v>18000</v>
      </c>
      <c r="E25" s="77">
        <f>+D25-C25</f>
        <v>8000</v>
      </c>
      <c r="F25" s="77" t="s">
        <v>404</v>
      </c>
    </row>
    <row r="26" spans="2:6" ht="14.25">
      <c r="B26" s="77" t="s">
        <v>222</v>
      </c>
      <c r="C26" s="77">
        <f>+C9/0.9*10%</f>
        <v>1811.111111111111</v>
      </c>
      <c r="D26" s="77">
        <v>5200</v>
      </c>
      <c r="E26" s="77">
        <f>+D26-C26</f>
        <v>3388.8888888888887</v>
      </c>
      <c r="F26" s="77" t="s">
        <v>307</v>
      </c>
    </row>
    <row r="27" spans="2:6" ht="14.25">
      <c r="B27" s="25" t="s">
        <v>218</v>
      </c>
      <c r="C27" s="25">
        <f>SUM(C24:C26)</f>
        <v>12477.777777777777</v>
      </c>
      <c r="D27" s="25">
        <f>SUM(D24:D26)</f>
        <v>24200</v>
      </c>
      <c r="E27" s="25">
        <f>SUM(E24:E26)</f>
        <v>11722.222222222223</v>
      </c>
      <c r="F27" s="77"/>
    </row>
    <row r="28" spans="2:6" ht="14.25">
      <c r="B28" s="25" t="s">
        <v>162</v>
      </c>
      <c r="C28" s="25">
        <f>+C21+C27</f>
        <v>14999.777777777777</v>
      </c>
      <c r="D28" s="25">
        <f>+D21+D27</f>
        <v>30800</v>
      </c>
      <c r="E28" s="25">
        <f>+E21+E27</f>
        <v>15800.222222222223</v>
      </c>
      <c r="F28" s="77"/>
    </row>
    <row r="29" spans="2:7" ht="14.25">
      <c r="B29" s="77"/>
      <c r="C29" s="77"/>
      <c r="D29" s="77"/>
      <c r="E29" s="77"/>
      <c r="F29" s="77"/>
      <c r="G29" s="77"/>
    </row>
    <row r="30" spans="5:6" ht="14.25">
      <c r="E30" s="10" t="s">
        <v>67</v>
      </c>
      <c r="F30" s="77" t="s">
        <v>67</v>
      </c>
    </row>
    <row r="31" spans="2:6" ht="14.25">
      <c r="B31" s="9" t="s">
        <v>223</v>
      </c>
      <c r="E31" s="10" t="s">
        <v>67</v>
      </c>
      <c r="F31" s="77" t="s">
        <v>67</v>
      </c>
    </row>
    <row r="32" spans="3:6" ht="14.25">
      <c r="C32" s="12" t="s">
        <v>218</v>
      </c>
      <c r="D32" s="12" t="s">
        <v>660</v>
      </c>
      <c r="E32" s="12" t="s">
        <v>661</v>
      </c>
      <c r="F32" s="77" t="s">
        <v>67</v>
      </c>
    </row>
    <row r="33" spans="3:6" ht="14.25">
      <c r="C33" s="12"/>
      <c r="D33" s="12"/>
      <c r="E33" s="12"/>
      <c r="F33" s="77"/>
    </row>
    <row r="34" spans="2:6" ht="14.25">
      <c r="B34" s="37" t="s">
        <v>224</v>
      </c>
      <c r="C34" s="19" t="s">
        <v>67</v>
      </c>
      <c r="D34" s="19">
        <f>+C35+C36</f>
        <v>11800</v>
      </c>
      <c r="F34" s="77" t="s">
        <v>67</v>
      </c>
    </row>
    <row r="35" spans="2:3" ht="14.25">
      <c r="B35" s="77" t="s">
        <v>658</v>
      </c>
      <c r="C35" s="19">
        <f>+D20</f>
        <v>6600</v>
      </c>
    </row>
    <row r="36" spans="2:3" ht="14.25">
      <c r="B36" s="77" t="s">
        <v>659</v>
      </c>
      <c r="C36" s="19">
        <f>+D26</f>
        <v>5200</v>
      </c>
    </row>
    <row r="37" spans="2:3" ht="14.25">
      <c r="B37" s="77"/>
      <c r="C37" s="19"/>
    </row>
    <row r="38" spans="2:3" ht="14.25">
      <c r="B38" s="77" t="s">
        <v>67</v>
      </c>
      <c r="C38" s="19" t="s">
        <v>67</v>
      </c>
    </row>
    <row r="39" spans="2:4" ht="14.25">
      <c r="B39" s="77" t="s">
        <v>662</v>
      </c>
      <c r="C39" s="19"/>
      <c r="D39" s="19">
        <f>+C40+C41</f>
        <v>19000</v>
      </c>
    </row>
    <row r="40" spans="2:3" ht="14.25">
      <c r="B40" s="77" t="s">
        <v>220</v>
      </c>
      <c r="C40" s="19">
        <f>+D24</f>
        <v>1000</v>
      </c>
    </row>
    <row r="41" spans="2:3" ht="14.25">
      <c r="B41" s="77" t="s">
        <v>221</v>
      </c>
      <c r="C41" s="19">
        <f>+D25</f>
        <v>18000</v>
      </c>
    </row>
    <row r="42" spans="2:3" ht="14.25">
      <c r="B42" s="77"/>
      <c r="C42" s="19"/>
    </row>
    <row r="43" spans="2:5" ht="14.25">
      <c r="B43" s="77" t="s">
        <v>663</v>
      </c>
      <c r="C43" s="19"/>
      <c r="D43" s="21" t="s">
        <v>67</v>
      </c>
      <c r="E43" s="21">
        <f>+C28</f>
        <v>14999.777777777777</v>
      </c>
    </row>
    <row r="44" spans="2:3" ht="14.25">
      <c r="B44" s="77"/>
      <c r="C44" s="19"/>
    </row>
    <row r="45" spans="2:5" ht="14.25">
      <c r="B45" s="10" t="s">
        <v>99</v>
      </c>
      <c r="E45" s="19">
        <f>+E28</f>
        <v>15800.222222222223</v>
      </c>
    </row>
    <row r="46" spans="2:5" ht="15" thickBot="1">
      <c r="B46" s="9" t="s">
        <v>226</v>
      </c>
      <c r="D46" s="31">
        <f>SUM(D34:D45)</f>
        <v>30800</v>
      </c>
      <c r="E46" s="31">
        <f>SUM(E34:E45)</f>
        <v>30800</v>
      </c>
    </row>
    <row r="47" ht="15" thickTop="1"/>
    <row r="49" ht="14.25">
      <c r="B49" s="9" t="s">
        <v>227</v>
      </c>
    </row>
    <row r="51" spans="2:6" ht="14.25">
      <c r="B51" s="9" t="s">
        <v>67</v>
      </c>
      <c r="F51" s="29" t="s">
        <v>149</v>
      </c>
    </row>
    <row r="52" spans="3:6" ht="14.25">
      <c r="C52" s="12" t="s">
        <v>209</v>
      </c>
      <c r="D52" s="12" t="s">
        <v>210</v>
      </c>
      <c r="E52" s="12" t="s">
        <v>211</v>
      </c>
      <c r="F52" s="12" t="s">
        <v>212</v>
      </c>
    </row>
    <row r="53" spans="2:6" ht="14.25">
      <c r="B53" s="10" t="s">
        <v>213</v>
      </c>
      <c r="C53" s="77">
        <v>6000</v>
      </c>
      <c r="D53" s="77">
        <v>4200</v>
      </c>
      <c r="E53" s="77">
        <f>+C53-D53</f>
        <v>1800</v>
      </c>
      <c r="F53" s="10">
        <v>20</v>
      </c>
    </row>
    <row r="54" spans="2:6" ht="14.25">
      <c r="B54" s="10" t="s">
        <v>208</v>
      </c>
      <c r="C54" s="77">
        <v>90000</v>
      </c>
      <c r="D54" s="77">
        <v>18000</v>
      </c>
      <c r="E54" s="77">
        <f>+C54-D54</f>
        <v>72000</v>
      </c>
      <c r="F54" s="10">
        <v>20</v>
      </c>
    </row>
    <row r="55" spans="2:6" ht="14.25">
      <c r="B55" s="10" t="s">
        <v>214</v>
      </c>
      <c r="C55" s="77">
        <v>16300</v>
      </c>
      <c r="D55" s="77">
        <v>10740</v>
      </c>
      <c r="E55" s="77">
        <f>+C55-D55</f>
        <v>5560</v>
      </c>
      <c r="F55" s="10">
        <v>20</v>
      </c>
    </row>
    <row r="56" spans="2:5" ht="14.25">
      <c r="B56" s="9" t="s">
        <v>162</v>
      </c>
      <c r="C56" s="25">
        <f>SUM(C53:C55)</f>
        <v>112300</v>
      </c>
      <c r="D56" s="25">
        <f>SUM(D53:D55)</f>
        <v>32940</v>
      </c>
      <c r="E56" s="25">
        <f>SUM(E53:E55)</f>
        <v>79360</v>
      </c>
    </row>
    <row r="58" ht="14.25">
      <c r="E58" s="21" t="s">
        <v>67</v>
      </c>
    </row>
    <row r="59" ht="14.25">
      <c r="B59" s="9" t="s">
        <v>228</v>
      </c>
    </row>
    <row r="61" spans="3:6" ht="15.75">
      <c r="C61" s="12" t="s">
        <v>229</v>
      </c>
      <c r="D61" s="12" t="s">
        <v>216</v>
      </c>
      <c r="E61" s="12" t="s">
        <v>217</v>
      </c>
      <c r="F61" s="30" t="s">
        <v>657</v>
      </c>
    </row>
    <row r="62" spans="2:6" ht="14.25">
      <c r="B62" s="10" t="s">
        <v>213</v>
      </c>
      <c r="C62" s="77">
        <f>+E53</f>
        <v>1800</v>
      </c>
      <c r="D62" s="77">
        <v>4500</v>
      </c>
      <c r="E62" s="21">
        <f>+D62-C62</f>
        <v>2700</v>
      </c>
      <c r="F62" s="10" t="s">
        <v>404</v>
      </c>
    </row>
    <row r="63" spans="2:6" ht="14.25">
      <c r="B63" s="10" t="s">
        <v>208</v>
      </c>
      <c r="C63" s="77">
        <f>+E54</f>
        <v>72000</v>
      </c>
      <c r="D63" s="77">
        <v>160000</v>
      </c>
      <c r="E63" s="21">
        <f>+D63-C63</f>
        <v>88000</v>
      </c>
      <c r="F63" s="10" t="s">
        <v>404</v>
      </c>
    </row>
    <row r="64" spans="2:6" ht="14.25">
      <c r="B64" s="10" t="s">
        <v>214</v>
      </c>
      <c r="C64" s="77">
        <f>+E55</f>
        <v>5560</v>
      </c>
      <c r="D64" s="77">
        <v>53000</v>
      </c>
      <c r="E64" s="21">
        <f>+D64-C64</f>
        <v>47440</v>
      </c>
      <c r="F64" s="10" t="s">
        <v>307</v>
      </c>
    </row>
    <row r="65" spans="2:5" ht="14.25">
      <c r="B65" s="9" t="s">
        <v>162</v>
      </c>
      <c r="C65" s="25">
        <f>SUM(C62:C64)</f>
        <v>79360</v>
      </c>
      <c r="D65" s="25">
        <f>SUM(D62:D64)</f>
        <v>217500</v>
      </c>
      <c r="E65" s="25">
        <f>SUM(E62:E64)</f>
        <v>138140</v>
      </c>
    </row>
    <row r="66" spans="4:5" ht="14.25">
      <c r="D66" s="21" t="s">
        <v>67</v>
      </c>
      <c r="E66" s="21" t="s">
        <v>67</v>
      </c>
    </row>
    <row r="67" spans="2:3" ht="14.25">
      <c r="B67" s="9" t="s">
        <v>223</v>
      </c>
      <c r="C67" s="78" t="s">
        <v>67</v>
      </c>
    </row>
    <row r="68" spans="3:5" ht="14.25">
      <c r="C68" s="12" t="s">
        <v>218</v>
      </c>
      <c r="D68" s="12" t="s">
        <v>660</v>
      </c>
      <c r="E68" s="12" t="s">
        <v>661</v>
      </c>
    </row>
    <row r="69" spans="3:5" ht="14.25">
      <c r="C69" s="12"/>
      <c r="D69" s="12"/>
      <c r="E69" s="12"/>
    </row>
    <row r="70" spans="2:4" ht="14.25">
      <c r="B70" s="37" t="s">
        <v>670</v>
      </c>
      <c r="D70" s="21">
        <f>+C71+C72</f>
        <v>164500</v>
      </c>
    </row>
    <row r="71" spans="2:3" ht="14.25">
      <c r="B71" s="37" t="s">
        <v>213</v>
      </c>
      <c r="C71" s="21">
        <f>+D62</f>
        <v>4500</v>
      </c>
    </row>
    <row r="72" spans="2:3" ht="14.25">
      <c r="B72" s="37" t="s">
        <v>208</v>
      </c>
      <c r="C72" s="21">
        <f>+D63</f>
        <v>160000</v>
      </c>
    </row>
    <row r="73" ht="14.25">
      <c r="B73" s="37"/>
    </row>
    <row r="74" spans="2:4" ht="14.25">
      <c r="B74" s="37" t="s">
        <v>230</v>
      </c>
      <c r="D74" s="21">
        <f>+C75</f>
        <v>53000</v>
      </c>
    </row>
    <row r="75" spans="2:3" ht="14.25">
      <c r="B75" s="37" t="s">
        <v>214</v>
      </c>
      <c r="C75" s="21">
        <f>+D64</f>
        <v>53000</v>
      </c>
    </row>
    <row r="76" ht="14.25">
      <c r="B76" s="37"/>
    </row>
    <row r="77" spans="2:5" ht="14.25">
      <c r="B77" s="37" t="s">
        <v>669</v>
      </c>
      <c r="E77" s="21">
        <f>+C56</f>
        <v>112300</v>
      </c>
    </row>
    <row r="78" ht="14.25">
      <c r="B78" s="37"/>
    </row>
    <row r="79" spans="2:4" ht="14.25">
      <c r="B79" s="37" t="s">
        <v>231</v>
      </c>
      <c r="D79" s="21">
        <f>+D56</f>
        <v>32940</v>
      </c>
    </row>
    <row r="80" ht="14.25">
      <c r="B80" s="37"/>
    </row>
    <row r="81" spans="2:5" ht="14.25">
      <c r="B81" s="37" t="s">
        <v>99</v>
      </c>
      <c r="E81" s="21">
        <f>+E65</f>
        <v>138140</v>
      </c>
    </row>
    <row r="83" spans="2:5" ht="15" thickBot="1">
      <c r="B83" s="9" t="s">
        <v>226</v>
      </c>
      <c r="D83" s="31">
        <f>SUM(D70:D82)</f>
        <v>250440</v>
      </c>
      <c r="E83" s="31">
        <f>SUM(E70:E82)</f>
        <v>250440</v>
      </c>
    </row>
    <row r="84" ht="15" thickTop="1"/>
    <row r="86" ht="14.25">
      <c r="B86" s="9" t="s">
        <v>232</v>
      </c>
    </row>
    <row r="88" ht="14.25">
      <c r="B88" s="9" t="s">
        <v>233</v>
      </c>
    </row>
    <row r="90" spans="2:4" ht="14.25">
      <c r="B90" s="10" t="s">
        <v>107</v>
      </c>
      <c r="C90" s="10">
        <v>3</v>
      </c>
      <c r="D90" s="10" t="s">
        <v>145</v>
      </c>
    </row>
    <row r="91" spans="2:4" ht="14.25">
      <c r="B91" s="10" t="s">
        <v>234</v>
      </c>
      <c r="C91" s="10">
        <v>36</v>
      </c>
      <c r="D91" s="10" t="s">
        <v>108</v>
      </c>
    </row>
    <row r="92" spans="2:4" ht="14.25">
      <c r="B92" s="10" t="s">
        <v>235</v>
      </c>
      <c r="C92" s="10">
        <v>150</v>
      </c>
      <c r="D92" s="10" t="s">
        <v>236</v>
      </c>
    </row>
    <row r="93" spans="2:3" ht="14.25">
      <c r="B93" s="10" t="s">
        <v>237</v>
      </c>
      <c r="C93" s="10" t="s">
        <v>238</v>
      </c>
    </row>
    <row r="94" spans="2:3" ht="14.25">
      <c r="B94" s="10" t="s">
        <v>239</v>
      </c>
      <c r="C94" s="10" t="s">
        <v>240</v>
      </c>
    </row>
    <row r="96" spans="2:3" ht="14.25">
      <c r="B96" s="10" t="s">
        <v>241</v>
      </c>
      <c r="C96" s="77">
        <f>PV(C98,C91,-C92,,0)</f>
        <v>4741.354937460664</v>
      </c>
    </row>
    <row r="97" spans="2:4" ht="14.25">
      <c r="B97" s="10" t="s">
        <v>242</v>
      </c>
      <c r="C97" s="27">
        <v>0.09</v>
      </c>
      <c r="D97" s="10" t="s">
        <v>115</v>
      </c>
    </row>
    <row r="98" spans="2:4" ht="14.25">
      <c r="B98" s="10" t="s">
        <v>243</v>
      </c>
      <c r="C98" s="75">
        <f>+(1+C97)^(1/12)-1</f>
        <v>0.007207323316136716</v>
      </c>
      <c r="D98" s="10" t="s">
        <v>244</v>
      </c>
    </row>
    <row r="99" spans="2:3" ht="14.25">
      <c r="B99" s="10" t="s">
        <v>245</v>
      </c>
      <c r="C99" s="21">
        <f>+D64+D26</f>
        <v>58200</v>
      </c>
    </row>
    <row r="100" spans="2:3" ht="14.25">
      <c r="B100" s="10" t="s">
        <v>246</v>
      </c>
      <c r="C100" s="28">
        <f>+C99/C96</f>
        <v>12.274972189947517</v>
      </c>
    </row>
    <row r="102" ht="14.25">
      <c r="B102" s="9" t="s">
        <v>247</v>
      </c>
    </row>
    <row r="105" ht="14.25">
      <c r="B105" s="9" t="s">
        <v>674</v>
      </c>
    </row>
    <row r="107" ht="14.25">
      <c r="B107" s="10" t="s">
        <v>675</v>
      </c>
    </row>
    <row r="108" spans="3:5" ht="14.25">
      <c r="C108" s="77"/>
      <c r="D108" s="77"/>
      <c r="E108" s="77"/>
    </row>
    <row r="109" spans="2:5" ht="14.25">
      <c r="B109" s="10" t="s">
        <v>303</v>
      </c>
      <c r="C109" s="77">
        <f>-PPE!E19</f>
        <v>1600</v>
      </c>
      <c r="D109" s="77"/>
      <c r="E109" s="77"/>
    </row>
    <row r="110" spans="2:5" ht="14.25">
      <c r="B110" s="10" t="s">
        <v>99</v>
      </c>
      <c r="C110" s="77"/>
      <c r="D110" s="77">
        <f>+C109</f>
        <v>1600</v>
      </c>
      <c r="E110" s="77"/>
    </row>
    <row r="111" spans="2:5" ht="15" thickBot="1">
      <c r="B111" s="9" t="s">
        <v>226</v>
      </c>
      <c r="C111" s="20">
        <f>SUM(C109:C110)</f>
        <v>1600</v>
      </c>
      <c r="D111" s="20">
        <f>SUM(D109:D110)</f>
        <v>1600</v>
      </c>
      <c r="E111" s="77"/>
    </row>
    <row r="112" spans="3:5" ht="15" thickTop="1">
      <c r="C112" s="77"/>
      <c r="D112" s="77"/>
      <c r="E112" s="77"/>
    </row>
    <row r="114" ht="14.25">
      <c r="B114" s="9" t="s">
        <v>757</v>
      </c>
    </row>
    <row r="116" spans="3:4" ht="14.25">
      <c r="C116" s="77"/>
      <c r="D116" s="77"/>
    </row>
    <row r="117" spans="2:4" ht="14.25">
      <c r="B117" s="10" t="s">
        <v>755</v>
      </c>
      <c r="C117" s="77">
        <f>+'HT Inicial'!C63</f>
        <v>15000</v>
      </c>
      <c r="D117" s="77"/>
    </row>
    <row r="118" spans="2:4" ht="14.25">
      <c r="B118" s="10" t="s">
        <v>756</v>
      </c>
      <c r="C118" s="77"/>
      <c r="D118" s="77">
        <f>+C117</f>
        <v>15000</v>
      </c>
    </row>
    <row r="119" spans="3:4" ht="15" thickBot="1">
      <c r="C119" s="20">
        <f>SUM(C117:C118)</f>
        <v>15000</v>
      </c>
      <c r="D119" s="20">
        <f>SUM(D117:D118)</f>
        <v>15000</v>
      </c>
    </row>
    <row r="120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7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9" sqref="A19"/>
    </sheetView>
  </sheetViews>
  <sheetFormatPr defaultColWidth="11.421875" defaultRowHeight="15"/>
  <cols>
    <col min="1" max="1" width="0.9921875" style="77" customWidth="1"/>
    <col min="2" max="2" width="30.7109375" style="77" customWidth="1"/>
    <col min="3" max="3" width="10.28125" style="77" customWidth="1"/>
    <col min="4" max="4" width="11.421875" style="77" customWidth="1"/>
    <col min="5" max="5" width="14.7109375" style="77" customWidth="1"/>
    <col min="6" max="6" width="11.421875" style="77" customWidth="1"/>
    <col min="7" max="7" width="14.00390625" style="77" customWidth="1"/>
    <col min="8" max="8" width="11.421875" style="77" customWidth="1"/>
    <col min="9" max="9" width="12.57421875" style="77" customWidth="1"/>
    <col min="10" max="10" width="11.421875" style="77" customWidth="1"/>
    <col min="11" max="11" width="23.140625" style="77" customWidth="1"/>
    <col min="12" max="235" width="11.421875" style="77" customWidth="1"/>
    <col min="236" max="236" width="42.7109375" style="77" customWidth="1"/>
    <col min="237" max="16384" width="11.57421875" style="77" customWidth="1"/>
  </cols>
  <sheetData>
    <row r="1" ht="14.25" hidden="1"/>
    <row r="2" spans="2:3" ht="14.25">
      <c r="B2" s="50" t="s">
        <v>409</v>
      </c>
      <c r="C2" s="50"/>
    </row>
    <row r="3" ht="14.25">
      <c r="B3" s="41" t="s">
        <v>421</v>
      </c>
    </row>
    <row r="4" ht="14.25">
      <c r="B4" s="41" t="s">
        <v>1</v>
      </c>
    </row>
    <row r="5" spans="4:9" ht="15.75">
      <c r="D5" s="80" t="s">
        <v>410</v>
      </c>
      <c r="E5" s="80"/>
      <c r="F5" s="80" t="s">
        <v>411</v>
      </c>
      <c r="G5" s="80"/>
      <c r="H5" s="80" t="s">
        <v>437</v>
      </c>
      <c r="I5" s="80"/>
    </row>
    <row r="6" spans="2:10" ht="14.25">
      <c r="B6" s="22" t="s">
        <v>2</v>
      </c>
      <c r="C6" s="23" t="s">
        <v>3</v>
      </c>
      <c r="D6" s="23" t="s">
        <v>78</v>
      </c>
      <c r="E6" s="23" t="s">
        <v>79</v>
      </c>
      <c r="F6" s="23" t="s">
        <v>78</v>
      </c>
      <c r="G6" s="23" t="s">
        <v>79</v>
      </c>
      <c r="H6" s="23" t="s">
        <v>78</v>
      </c>
      <c r="I6" s="23" t="s">
        <v>79</v>
      </c>
      <c r="J6" s="23" t="s">
        <v>196</v>
      </c>
    </row>
    <row r="7" spans="2:11" ht="14.25">
      <c r="B7" s="14" t="s">
        <v>436</v>
      </c>
      <c r="C7" s="52"/>
      <c r="D7" s="52"/>
      <c r="E7" s="52"/>
      <c r="F7" s="52"/>
      <c r="G7" s="52"/>
      <c r="H7" s="52">
        <f>+'Ajustes y recla'!C8+'Ajustes y recla'!C14+'Ajustes y recla'!C38</f>
        <v>20424</v>
      </c>
      <c r="I7" s="52"/>
      <c r="J7" s="77">
        <f aca="true" t="shared" si="0" ref="J7:J15">+C7+D7-E7+F7-G7+H7-I7</f>
        <v>20424</v>
      </c>
      <c r="K7" s="81" t="s">
        <v>67</v>
      </c>
    </row>
    <row r="8" spans="2:10" ht="14.25">
      <c r="B8" s="14" t="s">
        <v>4</v>
      </c>
      <c r="C8" s="15">
        <v>10304</v>
      </c>
      <c r="D8" s="15"/>
      <c r="E8" s="15"/>
      <c r="F8" s="15"/>
      <c r="G8" s="15"/>
      <c r="H8" s="15"/>
      <c r="I8" s="15">
        <f>+'Ajustes y recla'!D9</f>
        <v>10304</v>
      </c>
      <c r="J8" s="77">
        <f t="shared" si="0"/>
        <v>0</v>
      </c>
    </row>
    <row r="9" spans="2:9" ht="14.25">
      <c r="B9" s="14" t="s">
        <v>100</v>
      </c>
      <c r="C9" s="15"/>
      <c r="D9" s="15"/>
      <c r="E9" s="15"/>
      <c r="F9" s="15"/>
      <c r="G9" s="15"/>
      <c r="H9" s="15"/>
      <c r="I9" s="15"/>
    </row>
    <row r="10" spans="2:10" ht="14.25">
      <c r="B10" s="14" t="s">
        <v>462</v>
      </c>
      <c r="C10" s="15"/>
      <c r="D10" s="15"/>
      <c r="E10" s="15"/>
      <c r="F10" s="15">
        <f>+'Ajustes y recla'!C20</f>
        <v>14460</v>
      </c>
      <c r="G10" s="15"/>
      <c r="H10" s="15"/>
      <c r="I10" s="15"/>
      <c r="J10" s="77">
        <f t="shared" si="0"/>
        <v>14460</v>
      </c>
    </row>
    <row r="11" spans="2:10" ht="14.25">
      <c r="B11" s="14" t="s">
        <v>463</v>
      </c>
      <c r="C11" s="15"/>
      <c r="D11" s="15"/>
      <c r="E11" s="15"/>
      <c r="F11" s="15">
        <f>+'Ajustes y recla'!C28</f>
        <v>13698.096923276893</v>
      </c>
      <c r="G11" s="15"/>
      <c r="H11" s="15"/>
      <c r="I11" s="15"/>
      <c r="J11" s="77">
        <f t="shared" si="0"/>
        <v>13698.096923276893</v>
      </c>
    </row>
    <row r="12" spans="2:10" ht="14.25">
      <c r="B12" s="14" t="s">
        <v>5</v>
      </c>
      <c r="D12" s="15"/>
      <c r="E12" s="15"/>
      <c r="F12" s="15"/>
      <c r="G12" s="15"/>
      <c r="H12" s="15"/>
      <c r="I12" s="15"/>
      <c r="J12" s="77">
        <f t="shared" si="0"/>
        <v>0</v>
      </c>
    </row>
    <row r="13" spans="2:10" ht="14.25">
      <c r="B13" s="14" t="s">
        <v>6</v>
      </c>
      <c r="C13" s="15">
        <v>15600</v>
      </c>
      <c r="D13" s="15"/>
      <c r="E13" s="15"/>
      <c r="F13" s="15"/>
      <c r="G13" s="15">
        <f>+'Inv acciones'!D26</f>
        <v>15600</v>
      </c>
      <c r="H13" s="15"/>
      <c r="I13" s="15"/>
      <c r="J13" s="77">
        <f t="shared" si="0"/>
        <v>0</v>
      </c>
    </row>
    <row r="14" spans="2:10" ht="14.25">
      <c r="B14" s="14" t="s">
        <v>7</v>
      </c>
      <c r="C14" s="15">
        <v>13446</v>
      </c>
      <c r="D14" s="15"/>
      <c r="E14" s="15"/>
      <c r="F14" s="15"/>
      <c r="G14" s="15">
        <f>+'Ajustes y recla'!D30</f>
        <v>13446</v>
      </c>
      <c r="H14" s="15"/>
      <c r="I14" s="15"/>
      <c r="J14" s="77">
        <f t="shared" si="0"/>
        <v>0</v>
      </c>
    </row>
    <row r="15" spans="2:10" ht="14.25">
      <c r="B15" s="14" t="s">
        <v>8</v>
      </c>
      <c r="C15" s="15">
        <v>8000</v>
      </c>
      <c r="D15" s="15"/>
      <c r="E15" s="15"/>
      <c r="F15" s="15"/>
      <c r="G15" s="15"/>
      <c r="H15" s="15"/>
      <c r="I15" s="15">
        <f>+'Ajustes y recla'!D39</f>
        <v>8000</v>
      </c>
      <c r="J15" s="77">
        <f t="shared" si="0"/>
        <v>0</v>
      </c>
    </row>
    <row r="16" spans="2:11" ht="14.25">
      <c r="B16" s="14" t="s">
        <v>9</v>
      </c>
      <c r="D16" s="15"/>
      <c r="E16" s="15"/>
      <c r="F16" s="15"/>
      <c r="G16" s="15"/>
      <c r="H16" s="15"/>
      <c r="I16" s="15"/>
      <c r="K16" s="77" t="s">
        <v>67</v>
      </c>
    </row>
    <row r="17" spans="2:11" ht="14.25">
      <c r="B17" s="14" t="s">
        <v>10</v>
      </c>
      <c r="C17" s="15">
        <v>3500</v>
      </c>
      <c r="D17" s="15"/>
      <c r="E17" s="15"/>
      <c r="F17" s="15"/>
      <c r="G17" s="15">
        <f>+'Ajustes y recla'!D46</f>
        <v>60.464085091345396</v>
      </c>
      <c r="H17" s="15"/>
      <c r="I17" s="15"/>
      <c r="J17" s="77">
        <f aca="true" t="shared" si="1" ref="J17:J32">+C17+D17-E17+F17-G17+H17-I17</f>
        <v>3439.5359149086544</v>
      </c>
      <c r="K17" s="77" t="s">
        <v>67</v>
      </c>
    </row>
    <row r="18" spans="2:11" ht="14.25">
      <c r="B18" s="14" t="s">
        <v>11</v>
      </c>
      <c r="C18" s="15">
        <v>1300</v>
      </c>
      <c r="D18" s="15"/>
      <c r="E18" s="15"/>
      <c r="F18" s="15"/>
      <c r="G18" s="15"/>
      <c r="H18" s="15"/>
      <c r="I18" s="15">
        <f>+'Ajustes y recla'!D53</f>
        <v>1300</v>
      </c>
      <c r="J18" s="77">
        <f t="shared" si="1"/>
        <v>0</v>
      </c>
      <c r="K18" s="77" t="s">
        <v>67</v>
      </c>
    </row>
    <row r="19" spans="2:10" ht="14.25">
      <c r="B19" s="14" t="s">
        <v>138</v>
      </c>
      <c r="C19" s="15"/>
      <c r="D19" s="15"/>
      <c r="E19" s="15"/>
      <c r="F19" s="15"/>
      <c r="G19" s="15"/>
      <c r="H19" s="15">
        <f>+'Ajustes y recla'!C64</f>
        <v>2500</v>
      </c>
      <c r="I19" s="15"/>
      <c r="J19" s="77">
        <f t="shared" si="1"/>
        <v>2500</v>
      </c>
    </row>
    <row r="20" spans="2:10" ht="14.25">
      <c r="B20" s="14" t="s">
        <v>12</v>
      </c>
      <c r="C20" s="15">
        <v>18000</v>
      </c>
      <c r="D20" s="15"/>
      <c r="E20" s="15"/>
      <c r="F20" s="15"/>
      <c r="G20" s="15"/>
      <c r="H20" s="15"/>
      <c r="I20" s="15">
        <f>+'Ajustes y recla'!D62</f>
        <v>18000</v>
      </c>
      <c r="J20" s="77">
        <f t="shared" si="1"/>
        <v>0</v>
      </c>
    </row>
    <row r="21" spans="2:10" ht="14.25">
      <c r="B21" s="14" t="s">
        <v>13</v>
      </c>
      <c r="C21" s="15">
        <v>1560</v>
      </c>
      <c r="D21" s="15"/>
      <c r="E21" s="15"/>
      <c r="F21" s="15"/>
      <c r="G21" s="15"/>
      <c r="H21" s="15"/>
      <c r="I21" s="15"/>
      <c r="J21" s="77">
        <f t="shared" si="1"/>
        <v>1560</v>
      </c>
    </row>
    <row r="22" spans="2:10" ht="14.25">
      <c r="B22" s="14" t="s">
        <v>14</v>
      </c>
      <c r="C22" s="15">
        <v>1300</v>
      </c>
      <c r="D22" s="15"/>
      <c r="E22" s="15"/>
      <c r="F22" s="15"/>
      <c r="G22" s="15"/>
      <c r="H22" s="15"/>
      <c r="I22" s="15">
        <f>+'Ajustes y recla'!D63</f>
        <v>1300</v>
      </c>
      <c r="J22" s="77">
        <f t="shared" si="1"/>
        <v>0</v>
      </c>
    </row>
    <row r="23" spans="2:10" ht="14.25">
      <c r="B23" s="14" t="s">
        <v>15</v>
      </c>
      <c r="C23" s="15">
        <v>4000</v>
      </c>
      <c r="D23" s="15"/>
      <c r="E23" s="15"/>
      <c r="F23" s="15"/>
      <c r="G23" s="15">
        <f>+'Ptos empleados'!D65</f>
        <v>1609.2806374953634</v>
      </c>
      <c r="H23" s="15"/>
      <c r="I23" s="15"/>
      <c r="J23" s="77">
        <f t="shared" si="1"/>
        <v>2390.7193625046366</v>
      </c>
    </row>
    <row r="24" spans="2:10" ht="14.25">
      <c r="B24" s="14" t="s">
        <v>16</v>
      </c>
      <c r="C24" s="15">
        <v>600</v>
      </c>
      <c r="D24" s="15"/>
      <c r="E24" s="15"/>
      <c r="F24" s="15"/>
      <c r="G24" s="15">
        <f>+'Ajustes y recla'!D32</f>
        <v>600</v>
      </c>
      <c r="H24" s="15"/>
      <c r="I24" s="15"/>
      <c r="J24" s="77">
        <f t="shared" si="1"/>
        <v>0</v>
      </c>
    </row>
    <row r="25" spans="2:10" ht="14.25">
      <c r="B25" s="14" t="s">
        <v>17</v>
      </c>
      <c r="C25" s="15">
        <v>4000</v>
      </c>
      <c r="D25" s="15"/>
      <c r="E25" s="15"/>
      <c r="F25" s="15"/>
      <c r="G25" s="15">
        <f>+'Ajustes y recla'!D76</f>
        <v>1335.5629520499747</v>
      </c>
      <c r="H25" s="15"/>
      <c r="I25" s="15"/>
      <c r="J25" s="77">
        <f t="shared" si="1"/>
        <v>2664.4370479500253</v>
      </c>
    </row>
    <row r="26" spans="2:10" ht="14.25">
      <c r="B26" s="14" t="s">
        <v>18</v>
      </c>
      <c r="C26" s="15">
        <v>-150</v>
      </c>
      <c r="D26" s="15"/>
      <c r="E26" s="15">
        <f>+'Ajustes y recla'!D82</f>
        <v>343.42058494432143</v>
      </c>
      <c r="F26" s="15"/>
      <c r="G26" s="15"/>
      <c r="H26" s="15"/>
      <c r="I26" s="15"/>
      <c r="J26" s="77">
        <f t="shared" si="1"/>
        <v>-493.42058494432143</v>
      </c>
    </row>
    <row r="27" spans="2:9" ht="14.25">
      <c r="B27" s="14" t="s">
        <v>19</v>
      </c>
      <c r="D27" s="15"/>
      <c r="E27" s="15"/>
      <c r="F27" s="15"/>
      <c r="G27" s="15"/>
      <c r="H27" s="15"/>
      <c r="I27" s="15"/>
    </row>
    <row r="28" spans="2:10" ht="14.25">
      <c r="B28" s="14" t="s">
        <v>11</v>
      </c>
      <c r="D28" s="15"/>
      <c r="E28" s="15"/>
      <c r="F28" s="15"/>
      <c r="G28" s="15"/>
      <c r="H28" s="15">
        <f>+'Ajustes y recla'!C51</f>
        <v>1300</v>
      </c>
      <c r="I28" s="15"/>
      <c r="J28" s="77">
        <f t="shared" si="1"/>
        <v>1300</v>
      </c>
    </row>
    <row r="29" spans="2:10" ht="14.25">
      <c r="B29" s="14" t="s">
        <v>20</v>
      </c>
      <c r="C29" s="15">
        <v>12900</v>
      </c>
      <c r="D29" s="15"/>
      <c r="E29" s="15"/>
      <c r="F29" s="15"/>
      <c r="G29" s="15">
        <f>+'Ajustes y recla'!D88+'Ajustes y recla'!D94</f>
        <v>1600</v>
      </c>
      <c r="H29" s="15"/>
      <c r="I29" s="15"/>
      <c r="J29" s="77">
        <f t="shared" si="1"/>
        <v>11300</v>
      </c>
    </row>
    <row r="30" spans="2:11" ht="14.25">
      <c r="B30" s="14" t="s">
        <v>21</v>
      </c>
      <c r="C30" s="15">
        <f>14454+98500</f>
        <v>112954</v>
      </c>
      <c r="D30" s="15"/>
      <c r="E30" s="15"/>
      <c r="F30" s="15"/>
      <c r="G30" s="15">
        <f>+'Ajustes y recla'!D100+'Ajustes y recla'!D106</f>
        <v>4745</v>
      </c>
      <c r="H30" s="15"/>
      <c r="I30" s="15"/>
      <c r="J30" s="77">
        <f t="shared" si="1"/>
        <v>108209</v>
      </c>
      <c r="K30" s="77" t="s">
        <v>67</v>
      </c>
    </row>
    <row r="31" spans="2:10" ht="14.25">
      <c r="B31" s="14" t="s">
        <v>22</v>
      </c>
      <c r="C31" s="15">
        <v>-1200</v>
      </c>
      <c r="D31" s="15"/>
      <c r="E31" s="15"/>
      <c r="F31" s="15">
        <f>+'Ajustes y recla'!C111</f>
        <v>1200</v>
      </c>
      <c r="G31" s="15"/>
      <c r="H31" s="15"/>
      <c r="I31" s="15"/>
      <c r="J31" s="77">
        <f t="shared" si="1"/>
        <v>0</v>
      </c>
    </row>
    <row r="32" spans="2:10" ht="14.25">
      <c r="B32" s="14" t="s">
        <v>23</v>
      </c>
      <c r="C32" s="15">
        <v>900</v>
      </c>
      <c r="D32" s="15"/>
      <c r="E32" s="15"/>
      <c r="F32" s="15"/>
      <c r="G32" s="15">
        <f>+'Ajustes y recla'!D118</f>
        <v>900</v>
      </c>
      <c r="H32" s="15"/>
      <c r="I32" s="15"/>
      <c r="J32" s="77">
        <f t="shared" si="1"/>
        <v>0</v>
      </c>
    </row>
    <row r="33" spans="2:10" ht="14.25">
      <c r="B33" s="14" t="s">
        <v>24</v>
      </c>
      <c r="C33" s="15" t="s">
        <v>25</v>
      </c>
      <c r="D33" s="15"/>
      <c r="E33" s="15"/>
      <c r="F33" s="15"/>
      <c r="G33" s="15"/>
      <c r="H33" s="15"/>
      <c r="I33" s="15"/>
      <c r="J33" s="77" t="s">
        <v>67</v>
      </c>
    </row>
    <row r="34" spans="2:10" ht="14.25">
      <c r="B34" s="14" t="s">
        <v>26</v>
      </c>
      <c r="C34" s="15">
        <v>2000</v>
      </c>
      <c r="D34" s="15"/>
      <c r="E34" s="15"/>
      <c r="F34" s="15"/>
      <c r="G34" s="15"/>
      <c r="H34" s="15"/>
      <c r="I34" s="15"/>
      <c r="J34" s="77">
        <f aca="true" t="shared" si="2" ref="J34:J65">+C34+D34-E34+F34-G34+H34-I34</f>
        <v>2000</v>
      </c>
    </row>
    <row r="35" spans="2:10" ht="14.25">
      <c r="B35" s="14" t="s">
        <v>307</v>
      </c>
      <c r="C35" s="15"/>
      <c r="D35" s="15"/>
      <c r="E35" s="15"/>
      <c r="F35" s="15">
        <f>+'Ajustes y recla'!C123+'Ajustes y recla'!C136</f>
        <v>64800</v>
      </c>
      <c r="G35" s="15"/>
      <c r="H35" s="15"/>
      <c r="I35" s="15"/>
      <c r="J35" s="77">
        <f>+C36+D36-E36+F35-G36+H36-I36</f>
        <v>64800</v>
      </c>
    </row>
    <row r="36" spans="2:9" ht="14.25">
      <c r="B36" s="14" t="s">
        <v>27</v>
      </c>
      <c r="D36" s="15"/>
      <c r="E36" s="15"/>
      <c r="G36" s="15"/>
      <c r="H36" s="15"/>
      <c r="I36" s="15"/>
    </row>
    <row r="37" spans="2:10" ht="14.25">
      <c r="B37" s="14" t="s">
        <v>28</v>
      </c>
      <c r="C37" s="14">
        <v>15000</v>
      </c>
      <c r="D37" s="15"/>
      <c r="E37" s="15"/>
      <c r="F37" s="15">
        <f>+'Ajustes y recla'!C125</f>
        <v>19000</v>
      </c>
      <c r="G37" s="15">
        <f>+'Ajustes y recla'!D127</f>
        <v>14999.777777777777</v>
      </c>
      <c r="H37" s="15"/>
      <c r="I37" s="15"/>
      <c r="J37" s="77">
        <f t="shared" si="2"/>
        <v>19000.222222222223</v>
      </c>
    </row>
    <row r="38" spans="2:10" ht="14.25">
      <c r="B38" s="14" t="s">
        <v>29</v>
      </c>
      <c r="C38" s="14">
        <v>20290</v>
      </c>
      <c r="D38" s="15"/>
      <c r="E38" s="15"/>
      <c r="F38" s="15"/>
      <c r="G38" s="15">
        <f>+'Ajustes y recla'!D190</f>
        <v>4900</v>
      </c>
      <c r="H38" s="15"/>
      <c r="I38" s="15"/>
      <c r="J38" s="77">
        <f t="shared" si="2"/>
        <v>15390</v>
      </c>
    </row>
    <row r="39" spans="2:10" ht="14.25">
      <c r="B39" s="14" t="s">
        <v>741</v>
      </c>
      <c r="C39" s="14"/>
      <c r="D39" s="15"/>
      <c r="E39" s="15"/>
      <c r="F39" s="15">
        <f>+'Ajustes y recla'!C244</f>
        <v>33161.062501623426</v>
      </c>
      <c r="G39" s="15"/>
      <c r="H39" s="15"/>
      <c r="I39" s="15"/>
      <c r="J39" s="77">
        <f t="shared" si="2"/>
        <v>33161.062501623426</v>
      </c>
    </row>
    <row r="40" spans="2:11" ht="14.25">
      <c r="B40" s="14" t="s">
        <v>30</v>
      </c>
      <c r="C40" s="15">
        <v>112300</v>
      </c>
      <c r="D40" s="15"/>
      <c r="E40" s="15"/>
      <c r="F40" s="15">
        <f>+'Ajustes y recla'!C134+'Ajustes y recla'!C324</f>
        <v>173500</v>
      </c>
      <c r="G40" s="15">
        <f>+'Ajustes y recla'!D138</f>
        <v>112300</v>
      </c>
      <c r="H40" s="15"/>
      <c r="I40" s="15"/>
      <c r="J40" s="77">
        <f t="shared" si="2"/>
        <v>173500</v>
      </c>
      <c r="K40" s="81" t="s">
        <v>67</v>
      </c>
    </row>
    <row r="41" spans="2:11" ht="14.25">
      <c r="B41" s="14" t="s">
        <v>31</v>
      </c>
      <c r="C41" s="15">
        <v>54000</v>
      </c>
      <c r="D41" s="15"/>
      <c r="E41" s="15"/>
      <c r="F41" s="15">
        <f>+'Ajustes y recla'!C164</f>
        <v>65000</v>
      </c>
      <c r="G41" s="15">
        <f>+'Ajustes y recla'!D166</f>
        <v>54000</v>
      </c>
      <c r="H41" s="15"/>
      <c r="I41" s="15"/>
      <c r="J41" s="77">
        <f t="shared" si="2"/>
        <v>65000</v>
      </c>
      <c r="K41" s="73" t="s">
        <v>67</v>
      </c>
    </row>
    <row r="42" spans="2:10" ht="14.25">
      <c r="B42" s="14" t="s">
        <v>32</v>
      </c>
      <c r="C42" s="15">
        <v>3000</v>
      </c>
      <c r="D42" s="15"/>
      <c r="E42" s="15"/>
      <c r="F42" s="15"/>
      <c r="G42" s="15"/>
      <c r="H42" s="15"/>
      <c r="I42" s="15"/>
      <c r="J42" s="77">
        <f t="shared" si="2"/>
        <v>3000</v>
      </c>
    </row>
    <row r="43" spans="2:11" ht="14.25">
      <c r="B43" s="14" t="s">
        <v>33</v>
      </c>
      <c r="C43" s="15">
        <v>-41640</v>
      </c>
      <c r="D43" s="15"/>
      <c r="E43" s="15"/>
      <c r="F43" s="15">
        <f>+'Ajustes y recla'!C140+'Ajustes y recla'!C168</f>
        <v>41040</v>
      </c>
      <c r="G43" s="15">
        <f>+'Ajustes y recla'!D247+'Ajustes y recla'!D332</f>
        <v>6541.0714285714275</v>
      </c>
      <c r="H43" s="15"/>
      <c r="I43" s="15"/>
      <c r="J43" s="77">
        <f t="shared" si="2"/>
        <v>-7141.0714285714275</v>
      </c>
      <c r="K43" s="81" t="s">
        <v>67</v>
      </c>
    </row>
    <row r="44" spans="2:10" ht="14.25">
      <c r="B44" s="14" t="s">
        <v>34</v>
      </c>
      <c r="C44" s="15">
        <v>-1600</v>
      </c>
      <c r="D44" s="15"/>
      <c r="E44" s="15"/>
      <c r="F44" s="15">
        <f>+'Ajustes y recla'!C149</f>
        <v>1600</v>
      </c>
      <c r="G44" s="15"/>
      <c r="H44" s="15"/>
      <c r="I44" s="15"/>
      <c r="J44" s="77">
        <f t="shared" si="2"/>
        <v>0</v>
      </c>
    </row>
    <row r="45" spans="2:10" ht="14.25">
      <c r="B45" s="14" t="s">
        <v>35</v>
      </c>
      <c r="C45" s="15">
        <v>7000</v>
      </c>
      <c r="D45" s="15"/>
      <c r="E45" s="15"/>
      <c r="F45" s="15"/>
      <c r="G45" s="15">
        <f>+'Ajustes y recla'!D184</f>
        <v>7000</v>
      </c>
      <c r="H45" s="15"/>
      <c r="I45" s="15"/>
      <c r="J45" s="77">
        <f t="shared" si="2"/>
        <v>0</v>
      </c>
    </row>
    <row r="46" spans="2:10" ht="14.25">
      <c r="B46" s="14" t="s">
        <v>36</v>
      </c>
      <c r="C46" s="15">
        <v>0</v>
      </c>
      <c r="D46" s="15"/>
      <c r="E46" s="15"/>
      <c r="F46" s="15"/>
      <c r="G46" s="15"/>
      <c r="H46" s="15"/>
      <c r="I46" s="15"/>
      <c r="J46" s="77">
        <f t="shared" si="2"/>
        <v>0</v>
      </c>
    </row>
    <row r="47" spans="2:10" ht="14.25">
      <c r="B47" s="14" t="s">
        <v>37</v>
      </c>
      <c r="D47" s="15"/>
      <c r="E47" s="15"/>
      <c r="F47" s="15"/>
      <c r="G47" s="15"/>
      <c r="H47" s="15"/>
      <c r="I47" s="15"/>
      <c r="J47" s="77">
        <f t="shared" si="2"/>
        <v>0</v>
      </c>
    </row>
    <row r="48" spans="2:10" ht="14.25">
      <c r="B48" s="14" t="s">
        <v>38</v>
      </c>
      <c r="C48" s="14">
        <v>8000</v>
      </c>
      <c r="D48" s="15"/>
      <c r="E48" s="15"/>
      <c r="F48" s="15"/>
      <c r="G48" s="15"/>
      <c r="H48" s="15"/>
      <c r="I48" s="15"/>
      <c r="J48" s="77">
        <f t="shared" si="2"/>
        <v>8000</v>
      </c>
    </row>
    <row r="49" spans="2:10" ht="14.25">
      <c r="B49" s="14" t="s">
        <v>39</v>
      </c>
      <c r="C49" s="15">
        <v>5000</v>
      </c>
      <c r="D49" s="15"/>
      <c r="E49" s="15"/>
      <c r="F49" s="15"/>
      <c r="G49" s="15">
        <f>+'Ajustes y recla'!D196</f>
        <v>5000</v>
      </c>
      <c r="H49" s="15"/>
      <c r="I49" s="15"/>
      <c r="J49" s="77">
        <f t="shared" si="2"/>
        <v>0</v>
      </c>
    </row>
    <row r="50" spans="2:10" ht="14.25">
      <c r="B50" s="14" t="s">
        <v>40</v>
      </c>
      <c r="C50" s="15">
        <v>2000</v>
      </c>
      <c r="D50" s="15"/>
      <c r="E50" s="15"/>
      <c r="F50" s="15"/>
      <c r="G50" s="15">
        <f>+'Ajustes y recla'!D202</f>
        <v>2000</v>
      </c>
      <c r="H50" s="15"/>
      <c r="I50" s="15"/>
      <c r="J50" s="77">
        <f t="shared" si="2"/>
        <v>0</v>
      </c>
    </row>
    <row r="51" spans="2:10" ht="14.25">
      <c r="B51" s="14" t="s">
        <v>41</v>
      </c>
      <c r="C51" s="15">
        <v>1000</v>
      </c>
      <c r="D51" s="15"/>
      <c r="E51" s="15"/>
      <c r="F51" s="15"/>
      <c r="G51" s="15">
        <f>+'Ajustes y recla'!D208</f>
        <v>1000</v>
      </c>
      <c r="H51" s="15"/>
      <c r="I51" s="15"/>
      <c r="J51" s="77">
        <f t="shared" si="2"/>
        <v>0</v>
      </c>
    </row>
    <row r="52" spans="2:10" ht="14.25">
      <c r="B52" s="14" t="s">
        <v>42</v>
      </c>
      <c r="C52" s="15">
        <v>35600</v>
      </c>
      <c r="D52" s="15"/>
      <c r="E52" s="15"/>
      <c r="F52" s="15">
        <f>+'Ajustes y recla'!C238</f>
        <v>3161.0625016234235</v>
      </c>
      <c r="G52" s="15">
        <f>+'Ajustes y recla'!D227+'Ajustes y recla'!D245</f>
        <v>38761.062501623426</v>
      </c>
      <c r="H52" s="15"/>
      <c r="I52" s="15"/>
      <c r="J52" s="77">
        <f t="shared" si="2"/>
        <v>0</v>
      </c>
    </row>
    <row r="53" spans="2:10" ht="14.25">
      <c r="B53" s="14" t="s">
        <v>43</v>
      </c>
      <c r="C53" s="15">
        <v>-10680</v>
      </c>
      <c r="D53" s="15"/>
      <c r="E53" s="15"/>
      <c r="F53" s="15">
        <f>+'Ajustes y recla'!C232+'Ajustes y recla'!C246</f>
        <v>10680</v>
      </c>
      <c r="G53" s="15"/>
      <c r="H53" s="15"/>
      <c r="I53" s="15"/>
      <c r="J53" s="77">
        <f t="shared" si="2"/>
        <v>0</v>
      </c>
    </row>
    <row r="54" spans="2:10" ht="14.25">
      <c r="B54" s="14" t="s">
        <v>44</v>
      </c>
      <c r="C54" s="15">
        <v>21000</v>
      </c>
      <c r="D54" s="15"/>
      <c r="E54" s="15"/>
      <c r="F54" s="15"/>
      <c r="G54" s="15">
        <f>+'Ajustes y recla'!D215</f>
        <v>6000</v>
      </c>
      <c r="H54" s="15"/>
      <c r="I54" s="15"/>
      <c r="J54" s="77">
        <f t="shared" si="2"/>
        <v>15000</v>
      </c>
    </row>
    <row r="55" spans="2:10" ht="14.25">
      <c r="B55" s="14" t="s">
        <v>45</v>
      </c>
      <c r="C55" s="15">
        <v>1300</v>
      </c>
      <c r="D55" s="15"/>
      <c r="E55" s="15"/>
      <c r="F55" s="15"/>
      <c r="G55" s="15">
        <f>+'Ajustes y recla'!D221</f>
        <v>1300</v>
      </c>
      <c r="H55" s="15"/>
      <c r="I55" s="15"/>
      <c r="J55" s="77">
        <f t="shared" si="2"/>
        <v>0</v>
      </c>
    </row>
    <row r="56" spans="2:10" ht="14.25">
      <c r="B56" s="14" t="s">
        <v>100</v>
      </c>
      <c r="C56" s="15"/>
      <c r="D56" s="15"/>
      <c r="E56" s="15"/>
      <c r="F56" s="15"/>
      <c r="G56" s="15"/>
      <c r="H56" s="15"/>
      <c r="I56" s="15"/>
      <c r="J56" s="77">
        <f t="shared" si="2"/>
        <v>0</v>
      </c>
    </row>
    <row r="57" spans="2:10" ht="14.25">
      <c r="B57" s="14" t="s">
        <v>778</v>
      </c>
      <c r="C57" s="15"/>
      <c r="D57" s="15"/>
      <c r="E57" s="15"/>
      <c r="F57" s="15"/>
      <c r="G57" s="15"/>
      <c r="H57" s="15">
        <f>+'Ajustes y recla'!C265</f>
        <v>11000</v>
      </c>
      <c r="I57" s="15"/>
      <c r="J57" s="77">
        <f t="shared" si="2"/>
        <v>11000</v>
      </c>
    </row>
    <row r="58" spans="2:10" ht="14.25">
      <c r="B58" s="14" t="s">
        <v>46</v>
      </c>
      <c r="D58" s="15"/>
      <c r="E58" s="15"/>
      <c r="F58" s="15"/>
      <c r="G58" s="15"/>
      <c r="H58" s="15"/>
      <c r="I58" s="15"/>
      <c r="J58" s="77">
        <f t="shared" si="2"/>
        <v>0</v>
      </c>
    </row>
    <row r="59" spans="2:10" ht="14.25">
      <c r="B59" s="14" t="s">
        <v>420</v>
      </c>
      <c r="C59" s="15">
        <v>6000</v>
      </c>
      <c r="D59" s="15"/>
      <c r="E59" s="15"/>
      <c r="F59" s="15"/>
      <c r="G59" s="15"/>
      <c r="H59" s="15"/>
      <c r="I59" s="15">
        <f>+'Ajustes y recla'!D268</f>
        <v>6000</v>
      </c>
      <c r="J59" s="77">
        <f t="shared" si="2"/>
        <v>0</v>
      </c>
    </row>
    <row r="60" spans="2:10" ht="14.25">
      <c r="B60" s="14" t="s">
        <v>48</v>
      </c>
      <c r="C60" s="15">
        <v>5000</v>
      </c>
      <c r="D60" s="15"/>
      <c r="E60" s="15"/>
      <c r="F60" s="15"/>
      <c r="G60" s="15"/>
      <c r="H60" s="15"/>
      <c r="I60" s="15">
        <f>+'Ajustes y recla'!D269</f>
        <v>5000</v>
      </c>
      <c r="J60" s="77">
        <f t="shared" si="2"/>
        <v>0</v>
      </c>
    </row>
    <row r="61" spans="2:10" ht="14.25">
      <c r="B61" s="14" t="s">
        <v>23</v>
      </c>
      <c r="C61" s="15">
        <v>3000</v>
      </c>
      <c r="D61" s="15"/>
      <c r="E61" s="15"/>
      <c r="F61" s="15"/>
      <c r="G61" s="15">
        <f>+'Ajustes y recla'!D253</f>
        <v>3000</v>
      </c>
      <c r="H61" s="15"/>
      <c r="I61" s="15"/>
      <c r="J61" s="77">
        <f t="shared" si="2"/>
        <v>0</v>
      </c>
    </row>
    <row r="62" spans="2:10" ht="14.25">
      <c r="B62" s="14" t="s">
        <v>49</v>
      </c>
      <c r="D62" s="15"/>
      <c r="E62" s="15"/>
      <c r="F62" s="15"/>
      <c r="G62" s="15"/>
      <c r="H62" s="15"/>
      <c r="I62" s="15"/>
      <c r="J62" s="77">
        <f t="shared" si="2"/>
        <v>0</v>
      </c>
    </row>
    <row r="63" spans="2:10" ht="14.25">
      <c r="B63" s="14" t="s">
        <v>30</v>
      </c>
      <c r="C63" s="15">
        <v>15000</v>
      </c>
      <c r="D63" s="15"/>
      <c r="E63" s="15"/>
      <c r="F63" s="15"/>
      <c r="G63" s="15">
        <f>+'Ajustes y recla'!D158</f>
        <v>15000</v>
      </c>
      <c r="H63" s="15"/>
      <c r="I63" s="15"/>
      <c r="J63" s="77">
        <f t="shared" si="2"/>
        <v>0</v>
      </c>
    </row>
    <row r="64" spans="2:10" ht="14.25">
      <c r="B64" s="14" t="s">
        <v>31</v>
      </c>
      <c r="C64" s="15">
        <v>23000</v>
      </c>
      <c r="D64" s="15"/>
      <c r="E64" s="15"/>
      <c r="F64" s="15"/>
      <c r="G64" s="15">
        <f>+'Ajustes y recla'!D178</f>
        <v>23000</v>
      </c>
      <c r="H64" s="15"/>
      <c r="I64" s="15"/>
      <c r="J64" s="77">
        <f t="shared" si="2"/>
        <v>0</v>
      </c>
    </row>
    <row r="65" spans="2:10" ht="14.25">
      <c r="B65" s="14" t="s">
        <v>50</v>
      </c>
      <c r="C65" s="15">
        <v>11000</v>
      </c>
      <c r="D65" s="15"/>
      <c r="E65" s="15"/>
      <c r="F65" s="15"/>
      <c r="G65" s="15">
        <f>+'IP'!D44</f>
        <v>11000</v>
      </c>
      <c r="H65" s="15"/>
      <c r="I65" s="15"/>
      <c r="J65" s="77">
        <f t="shared" si="2"/>
        <v>0</v>
      </c>
    </row>
    <row r="66" spans="2:10" ht="14.25">
      <c r="B66" s="24" t="s">
        <v>51</v>
      </c>
      <c r="C66" s="17">
        <f>SUM(C7:C65)</f>
        <v>503584</v>
      </c>
      <c r="D66" s="15"/>
      <c r="E66" s="15"/>
      <c r="F66" s="15"/>
      <c r="G66" s="15"/>
      <c r="H66" s="15"/>
      <c r="I66" s="15"/>
      <c r="J66" s="17">
        <f>SUM(J7:J65)</f>
        <v>584162.58195897</v>
      </c>
    </row>
    <row r="67" spans="4:9" ht="14.25">
      <c r="D67" s="15"/>
      <c r="E67" s="15"/>
      <c r="F67" s="15"/>
      <c r="G67" s="15"/>
      <c r="H67" s="15"/>
      <c r="I67" s="15"/>
    </row>
    <row r="68" spans="2:9" ht="14.25">
      <c r="B68" s="24" t="s">
        <v>52</v>
      </c>
      <c r="C68" s="23" t="s">
        <v>3</v>
      </c>
      <c r="D68" s="15"/>
      <c r="E68" s="15"/>
      <c r="F68" s="15"/>
      <c r="G68" s="15"/>
      <c r="H68" s="15"/>
      <c r="I68" s="15"/>
    </row>
    <row r="69" spans="2:10" ht="14.25">
      <c r="B69" s="14" t="s">
        <v>53</v>
      </c>
      <c r="C69" s="15">
        <v>59500</v>
      </c>
      <c r="D69" s="15"/>
      <c r="E69" s="15"/>
      <c r="F69" s="15">
        <f>+'Ajustes y recla'!C275</f>
        <v>1417.1715479276172</v>
      </c>
      <c r="G69" s="15">
        <f>+'Ajustes y recla'!D325</f>
        <v>8998.980407050642</v>
      </c>
      <c r="H69" s="15"/>
      <c r="I69" s="15"/>
      <c r="J69" s="77">
        <f aca="true" t="shared" si="3" ref="J69:J82">+C69-D69+E69-F69+G69-H69+I69</f>
        <v>67081.80885912302</v>
      </c>
    </row>
    <row r="70" spans="2:10" ht="14.25">
      <c r="B70" s="14" t="s">
        <v>54</v>
      </c>
      <c r="C70" s="15">
        <v>79800</v>
      </c>
      <c r="D70" s="15"/>
      <c r="E70" s="15"/>
      <c r="F70" s="15"/>
      <c r="G70" s="15"/>
      <c r="H70" s="15"/>
      <c r="I70" s="15">
        <f>+'Ajustes y recla'!D15</f>
        <v>2120</v>
      </c>
      <c r="J70" s="77">
        <f t="shared" si="3"/>
        <v>81920</v>
      </c>
    </row>
    <row r="71" spans="2:10" ht="14.25">
      <c r="B71" s="14" t="s">
        <v>55</v>
      </c>
      <c r="C71" s="15">
        <v>8000</v>
      </c>
      <c r="D71" s="15"/>
      <c r="E71" s="15"/>
      <c r="F71" s="15"/>
      <c r="G71" s="15"/>
      <c r="H71" s="15"/>
      <c r="I71" s="15">
        <f>+'Ajustes y recla'!D293</f>
        <v>6700</v>
      </c>
      <c r="J71" s="77">
        <f t="shared" si="3"/>
        <v>14700</v>
      </c>
    </row>
    <row r="72" spans="2:10" ht="14.25">
      <c r="B72" s="14" t="s">
        <v>56</v>
      </c>
      <c r="C72" s="15">
        <v>2565</v>
      </c>
      <c r="D72" s="15"/>
      <c r="E72" s="15"/>
      <c r="F72" s="15">
        <f>+'Ajustes y recla'!C276</f>
        <v>2565</v>
      </c>
      <c r="G72" s="15"/>
      <c r="H72" s="15"/>
      <c r="I72" s="15"/>
      <c r="J72" s="77">
        <f t="shared" si="3"/>
        <v>0</v>
      </c>
    </row>
    <row r="73" spans="2:10" ht="14.25">
      <c r="B73" s="14" t="s">
        <v>57</v>
      </c>
      <c r="C73" s="15">
        <v>900</v>
      </c>
      <c r="D73" s="15"/>
      <c r="E73" s="15"/>
      <c r="F73" s="15"/>
      <c r="G73" s="15"/>
      <c r="H73" s="15"/>
      <c r="I73" s="15"/>
      <c r="J73" s="77">
        <f t="shared" si="3"/>
        <v>900</v>
      </c>
    </row>
    <row r="74" spans="2:10" ht="14.25">
      <c r="B74" s="14" t="s">
        <v>58</v>
      </c>
      <c r="C74" s="15">
        <v>11000</v>
      </c>
      <c r="D74" s="15"/>
      <c r="E74" s="15"/>
      <c r="F74" s="15"/>
      <c r="G74" s="15">
        <f>+'Ajustes y recla'!D283</f>
        <v>3568.8801793272437</v>
      </c>
      <c r="H74" s="15"/>
      <c r="I74" s="15"/>
      <c r="J74" s="77">
        <f t="shared" si="3"/>
        <v>14568.880179327243</v>
      </c>
    </row>
    <row r="75" spans="2:10" ht="14.25">
      <c r="B75" s="14" t="s">
        <v>368</v>
      </c>
      <c r="C75" s="15"/>
      <c r="D75" s="15"/>
      <c r="E75" s="15"/>
      <c r="F75" s="15"/>
      <c r="G75" s="15">
        <f>+'Ajustes y recla'!D239</f>
        <v>3161.0625016234235</v>
      </c>
      <c r="H75" s="15"/>
      <c r="I75" s="15"/>
      <c r="J75" s="77">
        <f t="shared" si="3"/>
        <v>3161.0625016234235</v>
      </c>
    </row>
    <row r="76" spans="2:10" ht="14.25">
      <c r="B76" s="14" t="s">
        <v>59</v>
      </c>
      <c r="C76" s="15">
        <v>3000</v>
      </c>
      <c r="D76" s="15"/>
      <c r="E76" s="15"/>
      <c r="F76" s="15"/>
      <c r="G76" s="15"/>
      <c r="H76" s="15">
        <f>+'Ajustes y recla'!C60</f>
        <v>3000</v>
      </c>
      <c r="I76" s="15"/>
      <c r="J76" s="77">
        <f t="shared" si="3"/>
        <v>0</v>
      </c>
    </row>
    <row r="77" spans="2:10" ht="14.25">
      <c r="B77" s="14" t="s">
        <v>60</v>
      </c>
      <c r="C77" s="15">
        <v>13800</v>
      </c>
      <c r="D77" s="15"/>
      <c r="E77" s="15"/>
      <c r="F77" s="15"/>
      <c r="G77" s="15"/>
      <c r="H77" s="15">
        <f>+'Ajustes y recla'!C61</f>
        <v>13800</v>
      </c>
      <c r="I77" s="15"/>
      <c r="J77" s="77">
        <f t="shared" si="3"/>
        <v>0</v>
      </c>
    </row>
    <row r="78" spans="2:10" ht="14.25">
      <c r="B78" s="14" t="s">
        <v>61</v>
      </c>
      <c r="C78" s="15">
        <v>0</v>
      </c>
      <c r="D78" s="15"/>
      <c r="E78" s="15"/>
      <c r="F78" s="15"/>
      <c r="G78" s="15"/>
      <c r="H78" s="15"/>
      <c r="I78" s="15"/>
      <c r="J78" s="77">
        <f t="shared" si="3"/>
        <v>0</v>
      </c>
    </row>
    <row r="79" spans="2:10" ht="14.25">
      <c r="B79" s="14" t="s">
        <v>62</v>
      </c>
      <c r="D79" s="15"/>
      <c r="E79" s="15"/>
      <c r="F79" s="15"/>
      <c r="G79" s="15"/>
      <c r="H79" s="15"/>
      <c r="I79" s="15">
        <f>+'Ajustes y recla'!D310</f>
        <v>14000</v>
      </c>
      <c r="J79" s="77">
        <f t="shared" si="3"/>
        <v>14000</v>
      </c>
    </row>
    <row r="80" spans="2:10" ht="14.25">
      <c r="B80" s="14" t="s">
        <v>63</v>
      </c>
      <c r="C80" s="15">
        <v>8000</v>
      </c>
      <c r="D80" s="15">
        <f>+'Ajustes y recla'!C302</f>
        <v>1300</v>
      </c>
      <c r="E80" s="15"/>
      <c r="F80" s="15"/>
      <c r="G80" s="15"/>
      <c r="H80" s="15">
        <f>+'Ajustes y recla'!C292</f>
        <v>6700</v>
      </c>
      <c r="I80" s="15"/>
      <c r="J80" s="77">
        <f t="shared" si="3"/>
        <v>0</v>
      </c>
    </row>
    <row r="81" spans="2:10" ht="14.25">
      <c r="B81" s="14" t="s">
        <v>64</v>
      </c>
      <c r="C81" s="15">
        <v>14000</v>
      </c>
      <c r="D81" s="15"/>
      <c r="E81" s="15"/>
      <c r="F81" s="15"/>
      <c r="G81" s="15"/>
      <c r="H81" s="15">
        <f>+'Ajustes y recla'!C309</f>
        <v>14000</v>
      </c>
      <c r="I81" s="15"/>
      <c r="J81" s="77">
        <f t="shared" si="3"/>
        <v>0</v>
      </c>
    </row>
    <row r="82" spans="2:10" ht="14.25">
      <c r="B82" s="14" t="s">
        <v>65</v>
      </c>
      <c r="C82" s="15">
        <v>4000</v>
      </c>
      <c r="D82" s="15"/>
      <c r="E82" s="15"/>
      <c r="F82" s="15">
        <f>+'Ajustes y recla'!C315</f>
        <v>2047.269082788982</v>
      </c>
      <c r="G82" s="15"/>
      <c r="H82" s="15"/>
      <c r="I82" s="15"/>
      <c r="J82" s="77">
        <f t="shared" si="3"/>
        <v>1952.730917211018</v>
      </c>
    </row>
    <row r="83" spans="2:10" ht="14.25">
      <c r="B83" s="24" t="s">
        <v>66</v>
      </c>
      <c r="C83" s="24">
        <f>SUM(C69:C82)</f>
        <v>204565</v>
      </c>
      <c r="D83" s="15"/>
      <c r="E83" s="15"/>
      <c r="F83" s="15"/>
      <c r="G83" s="15"/>
      <c r="H83" s="15"/>
      <c r="I83" s="15"/>
      <c r="J83" s="24">
        <f>SUM(J69:J82)</f>
        <v>198284.4824572847</v>
      </c>
    </row>
    <row r="84" spans="2:9" ht="14.25">
      <c r="B84" s="24" t="s">
        <v>67</v>
      </c>
      <c r="C84" s="24" t="s">
        <v>25</v>
      </c>
      <c r="D84" s="15"/>
      <c r="E84" s="15"/>
      <c r="F84" s="15"/>
      <c r="G84" s="15"/>
      <c r="H84" s="15"/>
      <c r="I84" s="15"/>
    </row>
    <row r="85" spans="2:9" ht="14.25">
      <c r="B85" s="24" t="s">
        <v>68</v>
      </c>
      <c r="C85" s="24" t="s">
        <v>25</v>
      </c>
      <c r="D85" s="15"/>
      <c r="E85" s="15"/>
      <c r="F85" s="15"/>
      <c r="G85" s="15"/>
      <c r="H85" s="15"/>
      <c r="I85" s="15"/>
    </row>
    <row r="86" spans="2:10" ht="14.25">
      <c r="B86" s="14" t="s">
        <v>69</v>
      </c>
      <c r="C86" s="15">
        <v>88000</v>
      </c>
      <c r="D86" s="15"/>
      <c r="E86" s="15"/>
      <c r="F86" s="15"/>
      <c r="G86" s="15"/>
      <c r="H86" s="15"/>
      <c r="I86" s="15"/>
      <c r="J86" s="77">
        <f aca="true" t="shared" si="4" ref="J86:J95">+C86-D86+E86-F86+G86-H86+I86</f>
        <v>88000</v>
      </c>
    </row>
    <row r="87" spans="2:10" ht="14.25">
      <c r="B87" s="14" t="s">
        <v>70</v>
      </c>
      <c r="C87" s="15">
        <v>20000</v>
      </c>
      <c r="D87" s="15"/>
      <c r="E87" s="15"/>
      <c r="F87" s="15"/>
      <c r="G87" s="15"/>
      <c r="H87" s="15"/>
      <c r="I87" s="15"/>
      <c r="J87" s="77">
        <f t="shared" si="4"/>
        <v>20000</v>
      </c>
    </row>
    <row r="88" spans="2:10" ht="14.25">
      <c r="B88" s="14" t="s">
        <v>71</v>
      </c>
      <c r="C88" s="15">
        <v>70000</v>
      </c>
      <c r="D88" s="15"/>
      <c r="E88" s="15"/>
      <c r="F88" s="15"/>
      <c r="G88" s="15"/>
      <c r="H88" s="15"/>
      <c r="I88" s="15"/>
      <c r="J88" s="77">
        <f t="shared" si="4"/>
        <v>70000</v>
      </c>
    </row>
    <row r="89" spans="2:10" ht="14.25">
      <c r="B89" s="14" t="s">
        <v>72</v>
      </c>
      <c r="C89" s="15">
        <v>27249</v>
      </c>
      <c r="D89" s="15"/>
      <c r="E89" s="15"/>
      <c r="F89" s="15"/>
      <c r="G89" s="15"/>
      <c r="H89" s="15"/>
      <c r="I89" s="15"/>
      <c r="J89" s="77">
        <f t="shared" si="4"/>
        <v>27249</v>
      </c>
    </row>
    <row r="90" spans="2:10" ht="14.25">
      <c r="B90" s="14" t="s">
        <v>73</v>
      </c>
      <c r="C90" s="15">
        <v>39270</v>
      </c>
      <c r="D90" s="15"/>
      <c r="E90" s="15"/>
      <c r="F90" s="15"/>
      <c r="G90" s="15"/>
      <c r="H90" s="15"/>
      <c r="I90" s="15"/>
      <c r="J90" s="77">
        <f t="shared" si="4"/>
        <v>39270</v>
      </c>
    </row>
    <row r="91" spans="2:10" ht="14.25">
      <c r="B91" s="24" t="s">
        <v>864</v>
      </c>
      <c r="C91" s="15"/>
      <c r="D91" s="15">
        <f aca="true" t="shared" si="5" ref="D91:I91">+D135</f>
        <v>343.42058494432143</v>
      </c>
      <c r="E91" s="15">
        <f t="shared" si="5"/>
        <v>6800</v>
      </c>
      <c r="F91" s="15">
        <f t="shared" si="5"/>
        <v>51219.59093068703</v>
      </c>
      <c r="G91" s="15">
        <f t="shared" si="5"/>
        <v>186122.11101731678</v>
      </c>
      <c r="H91" s="15">
        <f t="shared" si="5"/>
        <v>0</v>
      </c>
      <c r="I91" s="15">
        <f t="shared" si="5"/>
        <v>0</v>
      </c>
      <c r="J91" s="77">
        <f t="shared" si="4"/>
        <v>141359.0995016854</v>
      </c>
    </row>
    <row r="92" spans="2:10" ht="14.25">
      <c r="B92" s="14" t="s">
        <v>373</v>
      </c>
      <c r="C92" s="15"/>
      <c r="D92" s="15"/>
      <c r="E92" s="15"/>
      <c r="F92" s="15"/>
      <c r="G92" s="15"/>
      <c r="H92" s="15"/>
      <c r="I92" s="15"/>
      <c r="J92" s="77">
        <f t="shared" si="4"/>
        <v>0</v>
      </c>
    </row>
    <row r="93" spans="2:10" ht="14.25">
      <c r="B93" s="14" t="s">
        <v>374</v>
      </c>
      <c r="C93" s="15"/>
      <c r="D93" s="15"/>
      <c r="E93" s="15"/>
      <c r="F93" s="15"/>
      <c r="G93" s="15"/>
      <c r="H93" s="15"/>
      <c r="I93" s="15"/>
      <c r="J93" s="77">
        <f t="shared" si="4"/>
        <v>0</v>
      </c>
    </row>
    <row r="94" spans="2:10" ht="14.25">
      <c r="B94" s="14" t="s">
        <v>74</v>
      </c>
      <c r="C94" s="15">
        <v>49000</v>
      </c>
      <c r="D94" s="15"/>
      <c r="E94" s="15"/>
      <c r="F94" s="15">
        <f>+'Ajustes y recla'!C157+'Ajustes y recla'!C177+'Ajustes y recla'!C258</f>
        <v>49000</v>
      </c>
      <c r="G94" s="15"/>
      <c r="H94" s="15"/>
      <c r="I94" s="15"/>
      <c r="J94" s="77">
        <f t="shared" si="4"/>
        <v>0</v>
      </c>
    </row>
    <row r="95" spans="2:10" ht="14.25">
      <c r="B95" s="14" t="s">
        <v>75</v>
      </c>
      <c r="C95" s="15">
        <v>5500</v>
      </c>
      <c r="D95" s="15">
        <f>+'Ajustes y recla'!C337</f>
        <v>5500</v>
      </c>
      <c r="E95" s="15"/>
      <c r="F95" s="15"/>
      <c r="G95" s="15"/>
      <c r="H95" s="15"/>
      <c r="I95" s="15"/>
      <c r="J95" s="77">
        <f t="shared" si="4"/>
        <v>0</v>
      </c>
    </row>
    <row r="96" spans="2:11" ht="14.25">
      <c r="B96" s="24" t="s">
        <v>76</v>
      </c>
      <c r="C96" s="24">
        <f>SUM(C86:C95)</f>
        <v>299019</v>
      </c>
      <c r="D96" s="15"/>
      <c r="E96" s="15"/>
      <c r="F96" s="15"/>
      <c r="G96" s="15"/>
      <c r="H96" s="15"/>
      <c r="I96" s="15"/>
      <c r="J96" s="24">
        <f>SUM(J86:J95)</f>
        <v>385878.0995016854</v>
      </c>
      <c r="K96" s="77">
        <f>+C96-J96</f>
        <v>-86859.09950168541</v>
      </c>
    </row>
    <row r="97" spans="2:11" ht="14.25">
      <c r="B97" s="24" t="s">
        <v>77</v>
      </c>
      <c r="C97" s="24">
        <f>+C96+C83</f>
        <v>503584</v>
      </c>
      <c r="D97" s="15"/>
      <c r="E97" s="15"/>
      <c r="F97" s="15"/>
      <c r="G97" s="15"/>
      <c r="H97" s="15"/>
      <c r="I97" s="15"/>
      <c r="J97" s="24">
        <f>+J96+J83</f>
        <v>584162.58195897</v>
      </c>
      <c r="K97" s="77">
        <f>+F94</f>
        <v>49000</v>
      </c>
    </row>
    <row r="98" spans="2:11" ht="14.25">
      <c r="B98" s="25" t="s">
        <v>511</v>
      </c>
      <c r="C98" s="25">
        <f>+C66-C97</f>
        <v>0</v>
      </c>
      <c r="D98" s="17">
        <f aca="true" t="shared" si="6" ref="D98:I98">SUM(D7:D97)</f>
        <v>7143.4205849443215</v>
      </c>
      <c r="E98" s="17">
        <f t="shared" si="6"/>
        <v>7143.4205849443215</v>
      </c>
      <c r="F98" s="17">
        <f t="shared" si="6"/>
        <v>547549.2534879274</v>
      </c>
      <c r="G98" s="17">
        <f t="shared" si="6"/>
        <v>547549.2534879274</v>
      </c>
      <c r="H98" s="17">
        <f t="shared" si="6"/>
        <v>72724</v>
      </c>
      <c r="I98" s="17">
        <f t="shared" si="6"/>
        <v>72724</v>
      </c>
      <c r="J98" s="25">
        <f>+J66-J97</f>
        <v>0</v>
      </c>
      <c r="K98" s="77">
        <f>+D95</f>
        <v>5500</v>
      </c>
    </row>
    <row r="99" spans="10:11" ht="14.25">
      <c r="J99" s="77" t="s">
        <v>67</v>
      </c>
      <c r="K99" s="77">
        <f>+K96-K97-K98</f>
        <v>-141359.0995016854</v>
      </c>
    </row>
    <row r="101" ht="14.25">
      <c r="B101" s="25" t="s">
        <v>865</v>
      </c>
    </row>
    <row r="102" spans="2:6" ht="14.25">
      <c r="B102" s="77" t="s">
        <v>101</v>
      </c>
      <c r="F102" s="77">
        <f>+'Ajustes y recla'!C23</f>
        <v>1140</v>
      </c>
    </row>
    <row r="103" spans="2:6" ht="14.25">
      <c r="B103" s="77" t="s">
        <v>125</v>
      </c>
      <c r="F103" s="77">
        <f>+'Ajustes y recla'!C33</f>
        <v>347.903076723107</v>
      </c>
    </row>
    <row r="104" spans="2:6" ht="14.25">
      <c r="B104" s="77" t="s">
        <v>505</v>
      </c>
      <c r="F104" s="77">
        <f>+'Ajustes y recla'!C45</f>
        <v>60.464085091345396</v>
      </c>
    </row>
    <row r="105" spans="2:6" ht="14.25">
      <c r="B105" s="77" t="s">
        <v>546</v>
      </c>
      <c r="F105" s="77">
        <f>+'Ajustes y recla'!C69</f>
        <v>1609.2806374953634</v>
      </c>
    </row>
    <row r="106" spans="2:6" ht="14.25">
      <c r="B106" s="77" t="s">
        <v>156</v>
      </c>
      <c r="F106" s="77">
        <f>+'Ajustes y recla'!C75</f>
        <v>1335.5629520499747</v>
      </c>
    </row>
    <row r="107" spans="2:4" ht="14.25">
      <c r="B107" s="77" t="s">
        <v>166</v>
      </c>
      <c r="D107" s="77">
        <f>+'Provis cxc'!C66</f>
        <v>343.42058494432143</v>
      </c>
    </row>
    <row r="108" spans="2:6" ht="14.25">
      <c r="B108" s="77" t="s">
        <v>185</v>
      </c>
      <c r="F108" s="77">
        <f>+'Ajustes y recla'!C87</f>
        <v>900</v>
      </c>
    </row>
    <row r="109" spans="2:6" ht="14.25">
      <c r="B109" s="77" t="s">
        <v>186</v>
      </c>
      <c r="F109" s="77">
        <f>+'Ajustes y recla'!C93</f>
        <v>700</v>
      </c>
    </row>
    <row r="110" spans="2:6" ht="14.25">
      <c r="B110" s="77" t="s">
        <v>198</v>
      </c>
      <c r="F110" s="77">
        <f>+'Ajustes y recla'!C99</f>
        <v>3000</v>
      </c>
    </row>
    <row r="111" spans="2:6" ht="14.25">
      <c r="B111" s="77" t="s">
        <v>644</v>
      </c>
      <c r="F111" s="77">
        <f>+'Ajustes y recla'!C105</f>
        <v>1744.9999999999998</v>
      </c>
    </row>
    <row r="112" spans="2:7" ht="14.25">
      <c r="B112" s="77" t="s">
        <v>205</v>
      </c>
      <c r="G112" s="77">
        <f>+'Ajustes y recla'!D112</f>
        <v>1200</v>
      </c>
    </row>
    <row r="113" spans="2:6" ht="14.25">
      <c r="B113" s="77" t="s">
        <v>207</v>
      </c>
      <c r="F113" s="77">
        <f>+'Ajustes y recla'!C117</f>
        <v>900</v>
      </c>
    </row>
    <row r="114" spans="2:7" ht="14.25">
      <c r="B114" s="77" t="s">
        <v>672</v>
      </c>
      <c r="G114" s="77">
        <f>+Inmuebles!E45</f>
        <v>15800.222222222223</v>
      </c>
    </row>
    <row r="115" spans="2:7" ht="14.25">
      <c r="B115" s="77" t="s">
        <v>673</v>
      </c>
      <c r="G115" s="77">
        <f>+'Ajustes y recla'!D142</f>
        <v>138140</v>
      </c>
    </row>
    <row r="116" spans="2:7" ht="14.25">
      <c r="B116" s="77" t="s">
        <v>308</v>
      </c>
      <c r="G116" s="77">
        <f>+'Ajustes y recla'!D150</f>
        <v>1600</v>
      </c>
    </row>
    <row r="117" spans="2:7" ht="14.25">
      <c r="B117" s="77" t="s">
        <v>681</v>
      </c>
      <c r="G117" s="77">
        <f>+'Ajustes y recla'!D170</f>
        <v>19100</v>
      </c>
    </row>
    <row r="118" spans="2:6" ht="14.25">
      <c r="B118" s="77" t="s">
        <v>309</v>
      </c>
      <c r="F118" s="77">
        <f>+'Ajustes y recla'!C183</f>
        <v>7000</v>
      </c>
    </row>
    <row r="119" spans="2:6" ht="14.25">
      <c r="B119" s="77" t="s">
        <v>709</v>
      </c>
      <c r="F119" s="77">
        <f>+'Ajustes y recla'!C189</f>
        <v>4900</v>
      </c>
    </row>
    <row r="120" spans="2:6" ht="14.25">
      <c r="B120" s="77" t="s">
        <v>720</v>
      </c>
      <c r="F120" s="77">
        <f>+'Ajustes y recla'!C195</f>
        <v>5000</v>
      </c>
    </row>
    <row r="121" spans="2:6" ht="14.25">
      <c r="B121" s="77" t="s">
        <v>721</v>
      </c>
      <c r="F121" s="77">
        <f>+'Ajustes y recla'!C201</f>
        <v>2000</v>
      </c>
    </row>
    <row r="122" spans="2:6" ht="14.25">
      <c r="B122" s="77" t="s">
        <v>722</v>
      </c>
      <c r="F122" s="77">
        <f>+'Ajustes y recla'!C207</f>
        <v>1000</v>
      </c>
    </row>
    <row r="123" spans="2:6" ht="14.25">
      <c r="B123" s="77" t="s">
        <v>723</v>
      </c>
      <c r="F123" s="77">
        <f>+'Ajustes y recla'!C214</f>
        <v>6000</v>
      </c>
    </row>
    <row r="124" spans="2:6" ht="14.25">
      <c r="B124" s="77" t="s">
        <v>724</v>
      </c>
      <c r="F124" s="77">
        <f>+'Ajustes y recla'!C220</f>
        <v>1300</v>
      </c>
    </row>
    <row r="125" spans="2:6" ht="14.25">
      <c r="B125" s="77" t="s">
        <v>367</v>
      </c>
      <c r="F125" s="77">
        <f>+'Ajustes y recla'!C226</f>
        <v>5600</v>
      </c>
    </row>
    <row r="126" spans="2:7" ht="14.25">
      <c r="B126" s="77" t="s">
        <v>775</v>
      </c>
      <c r="G126" s="77">
        <f>+'Ajustes y recla'!C232</f>
        <v>4251.4285714285725</v>
      </c>
    </row>
    <row r="127" spans="2:6" ht="14.25">
      <c r="B127" s="77" t="s">
        <v>776</v>
      </c>
      <c r="F127" s="77">
        <f>+'Ajustes y recla'!C252</f>
        <v>3000</v>
      </c>
    </row>
    <row r="128" spans="2:7" ht="14.25">
      <c r="B128" s="77" t="s">
        <v>405</v>
      </c>
      <c r="G128" s="77">
        <f>+'Ajustes y recla'!D277</f>
        <v>3982.171547927617</v>
      </c>
    </row>
    <row r="129" spans="2:6" ht="14.25">
      <c r="B129" s="77" t="s">
        <v>407</v>
      </c>
      <c r="F129" s="77">
        <f>+'Ajustes y recla'!C282</f>
        <v>3568.8801793272437</v>
      </c>
    </row>
    <row r="130" spans="2:5" ht="14.25">
      <c r="B130" s="77" t="s">
        <v>840</v>
      </c>
      <c r="E130" s="77">
        <f>+'Ajustes y recla'!D303</f>
        <v>1300</v>
      </c>
    </row>
    <row r="131" spans="2:7" ht="14.25">
      <c r="B131" s="77" t="s">
        <v>406</v>
      </c>
      <c r="G131" s="77">
        <f>+'Ajustes y recla'!D317</f>
        <v>2047.269082788982</v>
      </c>
    </row>
    <row r="132" spans="2:7" ht="14.25">
      <c r="B132" s="77" t="s">
        <v>305</v>
      </c>
      <c r="G132" s="77">
        <f>+'Ajustes y recla'!D326</f>
        <v>1.0195929493584117</v>
      </c>
    </row>
    <row r="133" spans="2:6" ht="14.25">
      <c r="B133" s="77" t="s">
        <v>306</v>
      </c>
      <c r="F133" s="77">
        <f>+'Ajustes y recla'!C331</f>
        <v>112.5</v>
      </c>
    </row>
    <row r="134" spans="2:5" ht="14.25">
      <c r="B134" s="77" t="s">
        <v>859</v>
      </c>
      <c r="E134" s="77">
        <f>+'Ajustes y recla'!D338</f>
        <v>5500</v>
      </c>
    </row>
    <row r="135" spans="2:9" ht="15" thickBot="1">
      <c r="B135" s="77" t="s">
        <v>102</v>
      </c>
      <c r="D135" s="20">
        <f aca="true" t="shared" si="7" ref="D135:I135">SUM(D102:D134)</f>
        <v>343.42058494432143</v>
      </c>
      <c r="E135" s="20">
        <f t="shared" si="7"/>
        <v>6800</v>
      </c>
      <c r="F135" s="20">
        <f t="shared" si="7"/>
        <v>51219.59093068703</v>
      </c>
      <c r="G135" s="20">
        <f t="shared" si="7"/>
        <v>186122.11101731678</v>
      </c>
      <c r="H135" s="20">
        <f t="shared" si="7"/>
        <v>0</v>
      </c>
      <c r="I135" s="20">
        <f t="shared" si="7"/>
        <v>0</v>
      </c>
    </row>
    <row r="136" ht="15" thickTop="1"/>
    <row r="140" spans="2:7" ht="14.25">
      <c r="B140" s="25" t="s">
        <v>860</v>
      </c>
      <c r="G140" s="77" t="s">
        <v>876</v>
      </c>
    </row>
    <row r="142" spans="2:3" ht="14.25">
      <c r="B142" s="25" t="s">
        <v>861</v>
      </c>
      <c r="C142" s="25">
        <f>+C96</f>
        <v>299019</v>
      </c>
    </row>
    <row r="143" spans="2:3" ht="14.25">
      <c r="B143" s="77" t="s">
        <v>101</v>
      </c>
      <c r="C143" s="77">
        <f>-F102</f>
        <v>-1140</v>
      </c>
    </row>
    <row r="144" spans="2:3" ht="14.25">
      <c r="B144" s="77" t="s">
        <v>125</v>
      </c>
      <c r="C144" s="77">
        <f aca="true" t="shared" si="8" ref="C144:C174">-F103</f>
        <v>-347.903076723107</v>
      </c>
    </row>
    <row r="145" spans="2:3" ht="14.25">
      <c r="B145" s="77" t="s">
        <v>505</v>
      </c>
      <c r="C145" s="77">
        <f t="shared" si="8"/>
        <v>-60.464085091345396</v>
      </c>
    </row>
    <row r="146" spans="2:3" ht="14.25">
      <c r="B146" s="77" t="s">
        <v>546</v>
      </c>
      <c r="C146" s="77">
        <f t="shared" si="8"/>
        <v>-1609.2806374953634</v>
      </c>
    </row>
    <row r="147" spans="2:3" ht="14.25">
      <c r="B147" s="77" t="s">
        <v>156</v>
      </c>
      <c r="C147" s="77">
        <f t="shared" si="8"/>
        <v>-1335.5629520499747</v>
      </c>
    </row>
    <row r="148" spans="2:3" ht="14.25">
      <c r="B148" s="77" t="s">
        <v>166</v>
      </c>
      <c r="C148" s="77">
        <f>-D107</f>
        <v>-343.42058494432143</v>
      </c>
    </row>
    <row r="149" spans="2:3" ht="14.25">
      <c r="B149" s="77" t="s">
        <v>185</v>
      </c>
      <c r="C149" s="77">
        <f t="shared" si="8"/>
        <v>-900</v>
      </c>
    </row>
    <row r="150" spans="2:3" ht="14.25">
      <c r="B150" s="77" t="s">
        <v>186</v>
      </c>
      <c r="C150" s="77">
        <f t="shared" si="8"/>
        <v>-700</v>
      </c>
    </row>
    <row r="151" spans="2:3" ht="14.25">
      <c r="B151" s="77" t="s">
        <v>198</v>
      </c>
      <c r="C151" s="77">
        <f t="shared" si="8"/>
        <v>-3000</v>
      </c>
    </row>
    <row r="152" spans="2:3" ht="14.25">
      <c r="B152" s="77" t="s">
        <v>644</v>
      </c>
      <c r="C152" s="77">
        <f t="shared" si="8"/>
        <v>-1744.9999999999998</v>
      </c>
    </row>
    <row r="153" spans="2:3" ht="14.25">
      <c r="B153" s="77" t="s">
        <v>205</v>
      </c>
      <c r="C153" s="77">
        <f>+G112</f>
        <v>1200</v>
      </c>
    </row>
    <row r="154" spans="2:3" ht="14.25">
      <c r="B154" s="77" t="s">
        <v>207</v>
      </c>
      <c r="C154" s="77">
        <f t="shared" si="8"/>
        <v>-900</v>
      </c>
    </row>
    <row r="155" spans="2:3" ht="14.25">
      <c r="B155" s="77" t="s">
        <v>672</v>
      </c>
      <c r="C155" s="77">
        <f>+G114</f>
        <v>15800.222222222223</v>
      </c>
    </row>
    <row r="156" spans="2:3" ht="14.25">
      <c r="B156" s="77" t="s">
        <v>673</v>
      </c>
      <c r="C156" s="77">
        <f>+G115</f>
        <v>138140</v>
      </c>
    </row>
    <row r="157" spans="2:3" ht="14.25">
      <c r="B157" s="77" t="s">
        <v>308</v>
      </c>
      <c r="C157" s="77">
        <f>+G116</f>
        <v>1600</v>
      </c>
    </row>
    <row r="158" spans="2:3" ht="14.25">
      <c r="B158" s="77" t="s">
        <v>681</v>
      </c>
      <c r="C158" s="77">
        <f>+G117</f>
        <v>19100</v>
      </c>
    </row>
    <row r="159" spans="2:3" ht="14.25">
      <c r="B159" s="77" t="s">
        <v>309</v>
      </c>
      <c r="C159" s="77">
        <f t="shared" si="8"/>
        <v>-7000</v>
      </c>
    </row>
    <row r="160" spans="2:3" ht="14.25">
      <c r="B160" s="77" t="s">
        <v>709</v>
      </c>
      <c r="C160" s="77">
        <f t="shared" si="8"/>
        <v>-4900</v>
      </c>
    </row>
    <row r="161" spans="2:3" ht="14.25">
      <c r="B161" s="77" t="s">
        <v>720</v>
      </c>
      <c r="C161" s="77">
        <f t="shared" si="8"/>
        <v>-5000</v>
      </c>
    </row>
    <row r="162" spans="2:3" ht="14.25">
      <c r="B162" s="77" t="s">
        <v>721</v>
      </c>
      <c r="C162" s="77">
        <f t="shared" si="8"/>
        <v>-2000</v>
      </c>
    </row>
    <row r="163" spans="2:3" ht="14.25">
      <c r="B163" s="77" t="s">
        <v>722</v>
      </c>
      <c r="C163" s="77">
        <f t="shared" si="8"/>
        <v>-1000</v>
      </c>
    </row>
    <row r="164" spans="2:3" ht="14.25">
      <c r="B164" s="77" t="s">
        <v>723</v>
      </c>
      <c r="C164" s="77">
        <f t="shared" si="8"/>
        <v>-6000</v>
      </c>
    </row>
    <row r="165" spans="2:3" ht="14.25">
      <c r="B165" s="77" t="s">
        <v>724</v>
      </c>
      <c r="C165" s="77">
        <f t="shared" si="8"/>
        <v>-1300</v>
      </c>
    </row>
    <row r="166" spans="2:3" ht="14.25">
      <c r="B166" s="77" t="s">
        <v>367</v>
      </c>
      <c r="C166" s="77">
        <f t="shared" si="8"/>
        <v>-5600</v>
      </c>
    </row>
    <row r="167" spans="2:3" ht="14.25">
      <c r="B167" s="77" t="s">
        <v>775</v>
      </c>
      <c r="C167" s="77">
        <f>+G126</f>
        <v>4251.4285714285725</v>
      </c>
    </row>
    <row r="168" spans="2:3" ht="14.25">
      <c r="B168" s="77" t="s">
        <v>776</v>
      </c>
      <c r="C168" s="77">
        <f t="shared" si="8"/>
        <v>-3000</v>
      </c>
    </row>
    <row r="169" spans="2:3" ht="14.25">
      <c r="B169" s="77" t="s">
        <v>405</v>
      </c>
      <c r="C169" s="77">
        <f>+G128</f>
        <v>3982.171547927617</v>
      </c>
    </row>
    <row r="170" spans="2:3" ht="14.25">
      <c r="B170" s="77" t="s">
        <v>407</v>
      </c>
      <c r="C170" s="77">
        <f t="shared" si="8"/>
        <v>-3568.8801793272437</v>
      </c>
    </row>
    <row r="171" spans="2:3" ht="14.25">
      <c r="B171" s="77" t="s">
        <v>840</v>
      </c>
      <c r="C171" s="77">
        <f>+E130</f>
        <v>1300</v>
      </c>
    </row>
    <row r="172" spans="2:3" ht="14.25">
      <c r="B172" s="77" t="s">
        <v>406</v>
      </c>
      <c r="C172" s="77">
        <f>+G131</f>
        <v>2047.269082788982</v>
      </c>
    </row>
    <row r="173" spans="2:3" ht="14.25">
      <c r="B173" s="77" t="s">
        <v>305</v>
      </c>
      <c r="C173" s="77">
        <f>+G132</f>
        <v>1.0195929493584117</v>
      </c>
    </row>
    <row r="174" spans="2:3" ht="14.25">
      <c r="B174" s="77" t="s">
        <v>306</v>
      </c>
      <c r="C174" s="77">
        <f t="shared" si="8"/>
        <v>-112.5</v>
      </c>
    </row>
    <row r="175" spans="2:3" ht="14.25">
      <c r="B175" s="77" t="s">
        <v>862</v>
      </c>
      <c r="C175" s="77">
        <f>-F94</f>
        <v>-49000</v>
      </c>
    </row>
    <row r="176" spans="2:3" ht="15" thickBot="1">
      <c r="B176" s="25" t="s">
        <v>863</v>
      </c>
      <c r="C176" s="20">
        <f>SUM(C142:C175)</f>
        <v>385878.0995016854</v>
      </c>
    </row>
    <row r="177" ht="15" thickTop="1"/>
  </sheetData>
  <sheetProtection/>
  <mergeCells count="3"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81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3.140625" style="10" customWidth="1"/>
    <col min="2" max="2" width="32.28125" style="10" customWidth="1"/>
    <col min="3" max="16384" width="11.57421875" style="10" customWidth="1"/>
  </cols>
  <sheetData>
    <row r="2" spans="2:3" s="77" customFormat="1" ht="14.25">
      <c r="B2" s="9" t="s">
        <v>688</v>
      </c>
      <c r="C2" s="10"/>
    </row>
    <row r="3" spans="2:3" s="77" customFormat="1" ht="14.25">
      <c r="B3" s="10"/>
      <c r="C3" s="10"/>
    </row>
    <row r="4" spans="2:3" s="77" customFormat="1" ht="14.25">
      <c r="B4" s="9" t="s">
        <v>82</v>
      </c>
      <c r="C4" s="10" t="s">
        <v>649</v>
      </c>
    </row>
    <row r="5" spans="2:3" s="77" customFormat="1" ht="14.25">
      <c r="B5" s="10"/>
      <c r="C5" s="10" t="s">
        <v>250</v>
      </c>
    </row>
    <row r="6" spans="2:3" s="77" customFormat="1" ht="14.25">
      <c r="B6" s="10"/>
      <c r="C6" s="10"/>
    </row>
    <row r="7" spans="2:3" s="77" customFormat="1" ht="14.25">
      <c r="B7" s="10" t="s">
        <v>650</v>
      </c>
      <c r="C7" s="10" t="s">
        <v>656</v>
      </c>
    </row>
    <row r="8" spans="2:3" s="77" customFormat="1" ht="14.25">
      <c r="B8" s="10"/>
      <c r="C8" s="10" t="s">
        <v>655</v>
      </c>
    </row>
    <row r="9" spans="2:3" s="77" customFormat="1" ht="14.25">
      <c r="B9" s="10"/>
      <c r="C9" s="10"/>
    </row>
    <row r="11" ht="14.25">
      <c r="B11" s="9" t="s">
        <v>255</v>
      </c>
    </row>
    <row r="12" ht="14.25">
      <c r="C12" s="77"/>
    </row>
    <row r="13" spans="2:3" ht="14.25">
      <c r="B13" s="10" t="s">
        <v>215</v>
      </c>
      <c r="C13" s="77">
        <f>+'[1]PPE'!C20</f>
        <v>54000</v>
      </c>
    </row>
    <row r="14" spans="2:3" ht="14.25">
      <c r="B14" s="10" t="s">
        <v>256</v>
      </c>
      <c r="C14" s="77">
        <f>+'[1]PPE'!D20</f>
        <v>-8100</v>
      </c>
    </row>
    <row r="15" spans="2:3" ht="14.25">
      <c r="B15" s="10" t="s">
        <v>211</v>
      </c>
      <c r="C15" s="77">
        <f>SUM(C13:C14)</f>
        <v>45900</v>
      </c>
    </row>
    <row r="17" ht="14.25">
      <c r="B17" s="9" t="s">
        <v>683</v>
      </c>
    </row>
    <row r="19" spans="2:3" ht="14.25">
      <c r="B19" s="10" t="s">
        <v>257</v>
      </c>
      <c r="C19" s="10" t="s">
        <v>677</v>
      </c>
    </row>
    <row r="20" spans="2:4" ht="14.25">
      <c r="B20" s="10" t="s">
        <v>258</v>
      </c>
      <c r="C20" s="10">
        <v>15</v>
      </c>
      <c r="D20" s="10" t="s">
        <v>145</v>
      </c>
    </row>
    <row r="21" spans="2:3" ht="14.25">
      <c r="B21" s="10" t="s">
        <v>678</v>
      </c>
      <c r="C21" s="10">
        <v>27</v>
      </c>
    </row>
    <row r="22" spans="2:3" ht="14.25">
      <c r="B22" s="10" t="s">
        <v>259</v>
      </c>
      <c r="C22" s="77"/>
    </row>
    <row r="23" spans="2:4" ht="14.25">
      <c r="B23" s="10" t="s">
        <v>260</v>
      </c>
      <c r="C23" s="77">
        <v>1200</v>
      </c>
      <c r="D23" s="10" t="s">
        <v>679</v>
      </c>
    </row>
    <row r="24" spans="2:4" ht="14.25">
      <c r="B24" s="10" t="s">
        <v>261</v>
      </c>
      <c r="C24" s="77">
        <v>5600</v>
      </c>
      <c r="D24" s="10" t="s">
        <v>679</v>
      </c>
    </row>
    <row r="25" ht="14.25">
      <c r="C25" s="77"/>
    </row>
    <row r="26" spans="2:3" ht="14.25">
      <c r="B26" s="10" t="s">
        <v>262</v>
      </c>
      <c r="C26" s="77">
        <v>65000</v>
      </c>
    </row>
    <row r="27" spans="2:4" ht="14.25">
      <c r="B27" s="10" t="s">
        <v>680</v>
      </c>
      <c r="C27" s="10">
        <v>14</v>
      </c>
      <c r="D27" s="10" t="s">
        <v>145</v>
      </c>
    </row>
    <row r="29" ht="14.25">
      <c r="B29" s="9" t="s">
        <v>684</v>
      </c>
    </row>
    <row r="30" ht="14.25">
      <c r="B30" s="9"/>
    </row>
    <row r="31" spans="2:3" ht="14.25">
      <c r="B31" s="10" t="s">
        <v>263</v>
      </c>
      <c r="C31" s="21">
        <f>+C15</f>
        <v>45900</v>
      </c>
    </row>
    <row r="32" spans="2:3" ht="14.25">
      <c r="B32" s="10" t="s">
        <v>262</v>
      </c>
      <c r="C32" s="77">
        <f>+C26</f>
        <v>65000</v>
      </c>
    </row>
    <row r="33" spans="2:3" ht="14.25">
      <c r="B33" s="10" t="s">
        <v>264</v>
      </c>
      <c r="C33" s="21">
        <f>+C32-C31</f>
        <v>19100</v>
      </c>
    </row>
    <row r="35" ht="14.25">
      <c r="B35" s="9" t="s">
        <v>685</v>
      </c>
    </row>
    <row r="37" spans="2:3" ht="14.25">
      <c r="B37" s="10" t="s">
        <v>225</v>
      </c>
      <c r="C37" s="21" t="s">
        <v>67</v>
      </c>
    </row>
    <row r="38" spans="2:3" ht="14.25">
      <c r="B38" s="10" t="s">
        <v>265</v>
      </c>
      <c r="C38" s="21">
        <f>+C32</f>
        <v>65000</v>
      </c>
    </row>
    <row r="39" ht="14.25">
      <c r="C39" s="21"/>
    </row>
    <row r="40" spans="2:4" ht="14.25">
      <c r="B40" s="10" t="s">
        <v>266</v>
      </c>
      <c r="C40" s="21"/>
      <c r="D40" s="21">
        <f>+C13</f>
        <v>54000</v>
      </c>
    </row>
    <row r="41" ht="14.25">
      <c r="C41" s="21"/>
    </row>
    <row r="42" spans="2:3" ht="14.25">
      <c r="B42" s="10" t="s">
        <v>231</v>
      </c>
      <c r="C42" s="21">
        <f>-C14</f>
        <v>8100</v>
      </c>
    </row>
    <row r="43" ht="14.25">
      <c r="C43" s="21"/>
    </row>
    <row r="44" spans="2:4" ht="14.25">
      <c r="B44" s="10" t="s">
        <v>99</v>
      </c>
      <c r="D44" s="21">
        <f>+C33</f>
        <v>19100</v>
      </c>
    </row>
    <row r="45" spans="2:4" ht="15" thickBot="1">
      <c r="B45" s="9" t="s">
        <v>226</v>
      </c>
      <c r="C45" s="31">
        <f>SUM(C37:C44)</f>
        <v>73100</v>
      </c>
      <c r="D45" s="31">
        <f>SUM(D37:D44)</f>
        <v>73100</v>
      </c>
    </row>
    <row r="46" ht="15" thickTop="1"/>
    <row r="47" spans="2:3" ht="14.25">
      <c r="B47" s="10" t="s">
        <v>267</v>
      </c>
      <c r="C47" s="21">
        <f>+C38</f>
        <v>65000</v>
      </c>
    </row>
    <row r="50" ht="14.25">
      <c r="B50" s="9" t="s">
        <v>686</v>
      </c>
    </row>
    <row r="52" ht="14.25">
      <c r="B52" s="10" t="s">
        <v>687</v>
      </c>
    </row>
    <row r="53" ht="14.25">
      <c r="G53" s="29" t="s">
        <v>268</v>
      </c>
    </row>
    <row r="54" spans="2:8" ht="14.25">
      <c r="B54" s="12" t="s">
        <v>149</v>
      </c>
      <c r="C54" s="12" t="s">
        <v>534</v>
      </c>
      <c r="D54" s="12" t="s">
        <v>269</v>
      </c>
      <c r="E54" s="12" t="s">
        <v>270</v>
      </c>
      <c r="F54" s="12" t="s">
        <v>211</v>
      </c>
      <c r="G54" s="12" t="s">
        <v>271</v>
      </c>
      <c r="H54" s="12" t="s">
        <v>120</v>
      </c>
    </row>
    <row r="55" spans="2:8" ht="14.25">
      <c r="B55" s="10">
        <v>1</v>
      </c>
      <c r="C55" s="10">
        <v>2015</v>
      </c>
      <c r="D55" s="77">
        <v>80000</v>
      </c>
      <c r="E55" s="77">
        <f>+D55*0.9</f>
        <v>72000</v>
      </c>
      <c r="F55" s="77">
        <f>+D55-E55</f>
        <v>8000</v>
      </c>
      <c r="G55" s="27">
        <v>0.08</v>
      </c>
      <c r="H55" s="77">
        <f aca="true" t="shared" si="0" ref="H55:H68">+F55/(1+G55)^B55</f>
        <v>7407.407407407407</v>
      </c>
    </row>
    <row r="56" spans="2:8" ht="14.25">
      <c r="B56" s="10">
        <f>+B55+1</f>
        <v>2</v>
      </c>
      <c r="C56" s="10">
        <f>+C55+1</f>
        <v>2016</v>
      </c>
      <c r="D56" s="77">
        <f>+D55*(1.04)</f>
        <v>83200</v>
      </c>
      <c r="E56" s="77">
        <f>+E55*(1.04)</f>
        <v>74880</v>
      </c>
      <c r="F56" s="77">
        <f>+D56-E56</f>
        <v>8320</v>
      </c>
      <c r="G56" s="38">
        <v>0.085</v>
      </c>
      <c r="H56" s="77">
        <f t="shared" si="0"/>
        <v>7067.467986153879</v>
      </c>
    </row>
    <row r="57" spans="2:8" ht="14.25">
      <c r="B57" s="10">
        <f aca="true" t="shared" si="1" ref="B57:C67">+B56+1</f>
        <v>3</v>
      </c>
      <c r="C57" s="10">
        <f t="shared" si="1"/>
        <v>2017</v>
      </c>
      <c r="D57" s="77">
        <f aca="true" t="shared" si="2" ref="D57:E68">+D56*(1.04)</f>
        <v>86528</v>
      </c>
      <c r="E57" s="77">
        <f t="shared" si="2"/>
        <v>77875.2</v>
      </c>
      <c r="F57" s="77">
        <f aca="true" t="shared" si="3" ref="F57:F68">+D57-E57</f>
        <v>8652.800000000003</v>
      </c>
      <c r="G57" s="38">
        <v>0.091</v>
      </c>
      <c r="H57" s="77">
        <f t="shared" si="0"/>
        <v>6663.193322108352</v>
      </c>
    </row>
    <row r="58" spans="2:8" ht="14.25">
      <c r="B58" s="10">
        <f t="shared" si="1"/>
        <v>4</v>
      </c>
      <c r="C58" s="10">
        <f t="shared" si="1"/>
        <v>2018</v>
      </c>
      <c r="D58" s="77">
        <f t="shared" si="2"/>
        <v>89989.12000000001</v>
      </c>
      <c r="E58" s="77">
        <f t="shared" si="2"/>
        <v>80990.208</v>
      </c>
      <c r="F58" s="77">
        <f t="shared" si="3"/>
        <v>8998.912000000011</v>
      </c>
      <c r="G58" s="38">
        <v>0.0935</v>
      </c>
      <c r="H58" s="77">
        <f t="shared" si="0"/>
        <v>6293.827785668289</v>
      </c>
    </row>
    <row r="59" spans="2:8" ht="14.25">
      <c r="B59" s="10">
        <f t="shared" si="1"/>
        <v>5</v>
      </c>
      <c r="C59" s="10">
        <f t="shared" si="1"/>
        <v>2019</v>
      </c>
      <c r="D59" s="77">
        <f t="shared" si="2"/>
        <v>93588.68480000002</v>
      </c>
      <c r="E59" s="77">
        <f t="shared" si="2"/>
        <v>84229.81632</v>
      </c>
      <c r="F59" s="77">
        <f t="shared" si="3"/>
        <v>9358.86848000002</v>
      </c>
      <c r="G59" s="38">
        <v>0.095</v>
      </c>
      <c r="H59" s="77">
        <f t="shared" si="0"/>
        <v>5945.0121742304145</v>
      </c>
    </row>
    <row r="60" spans="2:8" ht="14.25">
      <c r="B60" s="10">
        <f t="shared" si="1"/>
        <v>6</v>
      </c>
      <c r="C60" s="10">
        <f t="shared" si="1"/>
        <v>2020</v>
      </c>
      <c r="D60" s="77">
        <f t="shared" si="2"/>
        <v>97332.23219200002</v>
      </c>
      <c r="E60" s="77">
        <f t="shared" si="2"/>
        <v>87599.0089728</v>
      </c>
      <c r="F60" s="77">
        <f t="shared" si="3"/>
        <v>9733.223219200023</v>
      </c>
      <c r="G60" s="27">
        <v>0.1</v>
      </c>
      <c r="H60" s="77">
        <f t="shared" si="0"/>
        <v>5494.150762632514</v>
      </c>
    </row>
    <row r="61" spans="2:8" ht="14.25">
      <c r="B61" s="10">
        <f t="shared" si="1"/>
        <v>7</v>
      </c>
      <c r="C61" s="10">
        <f t="shared" si="1"/>
        <v>2021</v>
      </c>
      <c r="D61" s="77">
        <f t="shared" si="2"/>
        <v>101225.52147968003</v>
      </c>
      <c r="E61" s="77">
        <f t="shared" si="2"/>
        <v>91102.96933171201</v>
      </c>
      <c r="F61" s="77">
        <f t="shared" si="3"/>
        <v>10122.552147968017</v>
      </c>
      <c r="G61" s="27">
        <v>0.11</v>
      </c>
      <c r="H61" s="77">
        <f t="shared" si="0"/>
        <v>4875.612381749562</v>
      </c>
    </row>
    <row r="62" spans="2:8" ht="14.25">
      <c r="B62" s="10">
        <f t="shared" si="1"/>
        <v>8</v>
      </c>
      <c r="C62" s="10">
        <f t="shared" si="1"/>
        <v>2022</v>
      </c>
      <c r="D62" s="77">
        <f t="shared" si="2"/>
        <v>105274.54233886724</v>
      </c>
      <c r="E62" s="77">
        <f t="shared" si="2"/>
        <v>94747.08810498049</v>
      </c>
      <c r="F62" s="77">
        <f t="shared" si="3"/>
        <v>10527.454233886747</v>
      </c>
      <c r="G62" s="27">
        <v>0.12</v>
      </c>
      <c r="H62" s="77">
        <f t="shared" si="0"/>
        <v>4251.862198387255</v>
      </c>
    </row>
    <row r="63" spans="2:8" ht="14.25">
      <c r="B63" s="10">
        <f t="shared" si="1"/>
        <v>9</v>
      </c>
      <c r="C63" s="10">
        <f t="shared" si="1"/>
        <v>2023</v>
      </c>
      <c r="D63" s="77">
        <f t="shared" si="2"/>
        <v>109485.52403242193</v>
      </c>
      <c r="E63" s="77">
        <f t="shared" si="2"/>
        <v>98536.97162917971</v>
      </c>
      <c r="F63" s="77">
        <f t="shared" si="3"/>
        <v>10948.552403242225</v>
      </c>
      <c r="G63" s="27">
        <v>0.12</v>
      </c>
      <c r="H63" s="77">
        <f t="shared" si="0"/>
        <v>3948.1577556453117</v>
      </c>
    </row>
    <row r="64" spans="2:8" ht="14.25">
      <c r="B64" s="10">
        <f t="shared" si="1"/>
        <v>10</v>
      </c>
      <c r="C64" s="10">
        <f t="shared" si="1"/>
        <v>2024</v>
      </c>
      <c r="D64" s="77">
        <f t="shared" si="2"/>
        <v>113864.94499371882</v>
      </c>
      <c r="E64" s="77">
        <f t="shared" si="2"/>
        <v>102478.45049434691</v>
      </c>
      <c r="F64" s="77">
        <f t="shared" si="3"/>
        <v>11386.494499371911</v>
      </c>
      <c r="G64" s="27">
        <v>0.12</v>
      </c>
      <c r="H64" s="77">
        <f t="shared" si="0"/>
        <v>3666.146487384931</v>
      </c>
    </row>
    <row r="65" spans="2:8" ht="14.25">
      <c r="B65" s="10">
        <f t="shared" si="1"/>
        <v>11</v>
      </c>
      <c r="C65" s="10">
        <f t="shared" si="1"/>
        <v>2025</v>
      </c>
      <c r="D65" s="77">
        <f t="shared" si="2"/>
        <v>118419.54279346757</v>
      </c>
      <c r="E65" s="77">
        <f t="shared" si="2"/>
        <v>106577.58851412078</v>
      </c>
      <c r="F65" s="77">
        <f t="shared" si="3"/>
        <v>11841.954279346784</v>
      </c>
      <c r="G65" s="27">
        <v>0.12</v>
      </c>
      <c r="H65" s="77">
        <f t="shared" si="0"/>
        <v>3404.2788811431487</v>
      </c>
    </row>
    <row r="66" spans="2:8" ht="14.25">
      <c r="B66" s="10">
        <f t="shared" si="1"/>
        <v>12</v>
      </c>
      <c r="C66" s="10">
        <f t="shared" si="1"/>
        <v>2026</v>
      </c>
      <c r="D66" s="77">
        <f t="shared" si="2"/>
        <v>123156.32450520627</v>
      </c>
      <c r="E66" s="77">
        <f t="shared" si="2"/>
        <v>110840.69205468561</v>
      </c>
      <c r="F66" s="77">
        <f t="shared" si="3"/>
        <v>12315.632450520658</v>
      </c>
      <c r="G66" s="27">
        <v>0.12</v>
      </c>
      <c r="H66" s="77">
        <f t="shared" si="0"/>
        <v>3161.116103918639</v>
      </c>
    </row>
    <row r="67" spans="2:8" ht="14.25">
      <c r="B67" s="10">
        <f t="shared" si="1"/>
        <v>13</v>
      </c>
      <c r="C67" s="10">
        <f t="shared" si="1"/>
        <v>2027</v>
      </c>
      <c r="D67" s="77">
        <f t="shared" si="2"/>
        <v>128082.57748541453</v>
      </c>
      <c r="E67" s="77">
        <f t="shared" si="2"/>
        <v>115274.31973687305</v>
      </c>
      <c r="F67" s="77">
        <f t="shared" si="3"/>
        <v>12808.25774854148</v>
      </c>
      <c r="G67" s="27">
        <v>0.12</v>
      </c>
      <c r="H67" s="77">
        <f t="shared" si="0"/>
        <v>2935.3220964958778</v>
      </c>
    </row>
    <row r="68" spans="2:8" ht="14.25">
      <c r="B68" s="10">
        <f>+B67+1</f>
        <v>14</v>
      </c>
      <c r="C68" s="10">
        <f>+C67+1</f>
        <v>2028</v>
      </c>
      <c r="D68" s="77">
        <f t="shared" si="2"/>
        <v>133205.88058483112</v>
      </c>
      <c r="E68" s="77">
        <f t="shared" si="2"/>
        <v>119885.29252634797</v>
      </c>
      <c r="F68" s="77">
        <f t="shared" si="3"/>
        <v>13320.588058483147</v>
      </c>
      <c r="G68" s="27">
        <v>0.12</v>
      </c>
      <c r="H68" s="77">
        <f t="shared" si="0"/>
        <v>2725.656232460459</v>
      </c>
    </row>
    <row r="69" spans="3:8" ht="14.25">
      <c r="C69" s="10" t="s">
        <v>67</v>
      </c>
      <c r="D69" s="77"/>
      <c r="E69" s="77"/>
      <c r="F69" s="25" t="s">
        <v>272</v>
      </c>
      <c r="H69" s="45">
        <f>SUM(H55:H68)</f>
        <v>67839.21157538603</v>
      </c>
    </row>
    <row r="70" spans="3:8" ht="14.25">
      <c r="C70" s="10" t="s">
        <v>67</v>
      </c>
      <c r="D70" s="77"/>
      <c r="E70" s="77"/>
      <c r="F70" s="25" t="s">
        <v>216</v>
      </c>
      <c r="H70" s="45">
        <f>+C47</f>
        <v>65000</v>
      </c>
    </row>
    <row r="71" spans="3:6" ht="14.25">
      <c r="C71" s="10" t="s">
        <v>67</v>
      </c>
      <c r="F71" s="9" t="s">
        <v>273</v>
      </c>
    </row>
    <row r="73" ht="14.25">
      <c r="B73" s="9" t="s">
        <v>682</v>
      </c>
    </row>
    <row r="76" ht="14.25">
      <c r="B76" s="9" t="s">
        <v>761</v>
      </c>
    </row>
    <row r="78" spans="3:4" ht="14.25">
      <c r="C78" s="77"/>
      <c r="D78" s="77"/>
    </row>
    <row r="79" spans="2:4" ht="14.25">
      <c r="B79" s="10" t="s">
        <v>755</v>
      </c>
      <c r="C79" s="77">
        <f>+'HT Inicial'!C64</f>
        <v>23000</v>
      </c>
      <c r="D79" s="77"/>
    </row>
    <row r="80" spans="2:4" ht="14.25">
      <c r="B80" s="10" t="s">
        <v>756</v>
      </c>
      <c r="C80" s="77"/>
      <c r="D80" s="77">
        <f>+C79</f>
        <v>23000</v>
      </c>
    </row>
    <row r="81" spans="3:4" ht="15" thickBot="1">
      <c r="C81" s="20">
        <f>SUM(C79:C80)</f>
        <v>23000</v>
      </c>
      <c r="D81" s="20">
        <f>SUM(D79:D80)</f>
        <v>23000</v>
      </c>
    </row>
    <row r="82" ht="15" thickTop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10" customWidth="1"/>
    <col min="2" max="2" width="23.8515625" style="10" customWidth="1"/>
    <col min="3" max="16384" width="11.57421875" style="10" customWidth="1"/>
  </cols>
  <sheetData>
    <row r="2" spans="2:4" ht="14.25">
      <c r="B2" s="25" t="s">
        <v>249</v>
      </c>
      <c r="C2" s="77"/>
      <c r="D2" s="77"/>
    </row>
    <row r="3" spans="2:4" ht="14.25">
      <c r="B3" s="77"/>
      <c r="C3" s="77"/>
      <c r="D3" s="77"/>
    </row>
    <row r="4" spans="2:4" ht="14.25">
      <c r="B4" s="25" t="s">
        <v>82</v>
      </c>
      <c r="C4" s="77" t="s">
        <v>83</v>
      </c>
      <c r="D4" s="77"/>
    </row>
    <row r="5" spans="2:4" ht="14.25">
      <c r="B5" s="77"/>
      <c r="C5" s="77"/>
      <c r="D5" s="77"/>
    </row>
    <row r="6" spans="2:4" ht="14.25">
      <c r="B6" s="25" t="s">
        <v>428</v>
      </c>
      <c r="C6" s="77" t="s">
        <v>645</v>
      </c>
      <c r="D6" s="77"/>
    </row>
    <row r="7" spans="2:4" ht="14.25">
      <c r="B7" s="77"/>
      <c r="C7" s="77"/>
      <c r="D7" s="77"/>
    </row>
    <row r="8" spans="2:4" ht="14.25">
      <c r="B8" s="25" t="s">
        <v>438</v>
      </c>
      <c r="C8" s="77" t="s">
        <v>646</v>
      </c>
      <c r="D8" s="77"/>
    </row>
    <row r="9" spans="2:4" ht="14.25">
      <c r="B9" s="25"/>
      <c r="C9" s="77"/>
      <c r="D9" s="77"/>
    </row>
    <row r="10" spans="2:6" ht="14.25">
      <c r="B10" s="25" t="s">
        <v>85</v>
      </c>
      <c r="C10" s="77" t="s">
        <v>689</v>
      </c>
      <c r="D10" s="77"/>
      <c r="E10" s="77"/>
      <c r="F10" s="77"/>
    </row>
    <row r="11" ht="14.25">
      <c r="C11" s="10" t="s">
        <v>690</v>
      </c>
    </row>
    <row r="14" spans="2:4" ht="14.25">
      <c r="B14" s="25" t="s">
        <v>96</v>
      </c>
      <c r="C14" s="77"/>
      <c r="D14" s="77"/>
    </row>
    <row r="15" spans="2:4" ht="14.25">
      <c r="B15" s="77"/>
      <c r="C15" s="77"/>
      <c r="D15" s="77"/>
    </row>
    <row r="16" spans="2:4" ht="14.25">
      <c r="B16" s="14" t="s">
        <v>123</v>
      </c>
      <c r="C16" s="77">
        <f>+PPE!C24</f>
        <v>7000</v>
      </c>
      <c r="D16" s="77"/>
    </row>
    <row r="17" spans="2:4" ht="14.25">
      <c r="B17" s="14" t="s">
        <v>302</v>
      </c>
      <c r="C17" s="77" t="s">
        <v>67</v>
      </c>
      <c r="D17" s="77">
        <f>+C16</f>
        <v>7000</v>
      </c>
    </row>
    <row r="18" spans="2:4" ht="15" thickBot="1">
      <c r="B18" s="77"/>
      <c r="C18" s="20">
        <f>SUM(C16:C17)</f>
        <v>7000</v>
      </c>
      <c r="D18" s="20">
        <f>SUM(D16:D17)</f>
        <v>7000</v>
      </c>
    </row>
    <row r="19" ht="1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3.7109375" style="77" customWidth="1"/>
    <col min="2" max="2" width="29.28125" style="77" customWidth="1"/>
    <col min="3" max="8" width="11.57421875" style="77" customWidth="1"/>
    <col min="9" max="9" width="15.7109375" style="77" customWidth="1"/>
    <col min="10" max="16384" width="11.57421875" style="77" customWidth="1"/>
  </cols>
  <sheetData>
    <row r="2" spans="2:3" ht="14.25">
      <c r="B2" s="9" t="s">
        <v>703</v>
      </c>
      <c r="C2" s="10"/>
    </row>
    <row r="3" spans="2:3" ht="14.25">
      <c r="B3" s="10"/>
      <c r="C3" s="10"/>
    </row>
    <row r="4" spans="2:3" ht="14.25">
      <c r="B4" s="9" t="s">
        <v>82</v>
      </c>
      <c r="C4" s="10" t="s">
        <v>238</v>
      </c>
    </row>
    <row r="5" spans="2:3" ht="14.25">
      <c r="B5" s="10"/>
      <c r="C5" s="10"/>
    </row>
    <row r="6" spans="2:3" ht="14.25">
      <c r="B6" s="10" t="s">
        <v>650</v>
      </c>
      <c r="C6" s="10" t="s">
        <v>704</v>
      </c>
    </row>
    <row r="7" spans="2:3" ht="14.25">
      <c r="B7" s="10"/>
      <c r="C7" s="10"/>
    </row>
    <row r="8" spans="2:3" ht="14.25">
      <c r="B8" s="9" t="s">
        <v>85</v>
      </c>
      <c r="C8" s="10" t="s">
        <v>251</v>
      </c>
    </row>
    <row r="9" ht="14.25">
      <c r="C9" s="77" t="s">
        <v>252</v>
      </c>
    </row>
    <row r="10" spans="2:8" ht="14.25">
      <c r="B10" s="10"/>
      <c r="C10" s="10" t="s">
        <v>253</v>
      </c>
      <c r="D10" s="10"/>
      <c r="E10" s="10"/>
      <c r="F10" s="10"/>
      <c r="G10" s="10"/>
      <c r="H10" s="10"/>
    </row>
    <row r="11" spans="2:8" ht="14.25">
      <c r="B11" s="10"/>
      <c r="C11" s="10" t="s">
        <v>254</v>
      </c>
      <c r="D11" s="10"/>
      <c r="E11" s="10"/>
      <c r="F11" s="10"/>
      <c r="G11" s="10"/>
      <c r="H11" s="10"/>
    </row>
    <row r="12" ht="14.25">
      <c r="C12" s="77" t="s">
        <v>705</v>
      </c>
    </row>
    <row r="15" ht="14.25">
      <c r="B15" s="25" t="s">
        <v>691</v>
      </c>
    </row>
    <row r="17" spans="3:6" ht="15.75">
      <c r="C17" s="80" t="s">
        <v>692</v>
      </c>
      <c r="D17" s="80"/>
      <c r="E17" s="80"/>
      <c r="F17" s="80"/>
    </row>
    <row r="18" spans="2:7" ht="15.75">
      <c r="B18" s="77" t="s">
        <v>147</v>
      </c>
      <c r="C18" s="64" t="s">
        <v>693</v>
      </c>
      <c r="D18" s="64" t="s">
        <v>332</v>
      </c>
      <c r="E18" s="64" t="s">
        <v>694</v>
      </c>
      <c r="F18" s="64" t="s">
        <v>706</v>
      </c>
      <c r="G18" s="76" t="s">
        <v>162</v>
      </c>
    </row>
    <row r="19" spans="2:7" ht="14.25">
      <c r="B19" s="77" t="s">
        <v>695</v>
      </c>
      <c r="C19" s="77">
        <v>400</v>
      </c>
      <c r="D19" s="77">
        <v>1000</v>
      </c>
      <c r="E19" s="77">
        <v>100</v>
      </c>
      <c r="F19" s="77">
        <v>700</v>
      </c>
      <c r="G19" s="77">
        <f>SUM(C19:F19)</f>
        <v>2200</v>
      </c>
    </row>
    <row r="20" spans="2:7" ht="14.25">
      <c r="B20" s="77" t="s">
        <v>696</v>
      </c>
      <c r="C20" s="77">
        <v>450</v>
      </c>
      <c r="D20" s="77">
        <v>1100</v>
      </c>
      <c r="E20" s="77">
        <v>120</v>
      </c>
      <c r="F20" s="77">
        <f aca="true" t="shared" si="0" ref="F20:F25">+F19</f>
        <v>700</v>
      </c>
      <c r="G20" s="77">
        <f aca="true" t="shared" si="1" ref="G20:G25">SUM(C20:F20)</f>
        <v>2370</v>
      </c>
    </row>
    <row r="21" spans="2:7" ht="14.25">
      <c r="B21" s="77" t="s">
        <v>697</v>
      </c>
      <c r="C21" s="77">
        <v>500</v>
      </c>
      <c r="D21" s="77">
        <v>1600</v>
      </c>
      <c r="E21" s="77">
        <v>130</v>
      </c>
      <c r="F21" s="77">
        <f t="shared" si="0"/>
        <v>700</v>
      </c>
      <c r="G21" s="77">
        <f t="shared" si="1"/>
        <v>2930</v>
      </c>
    </row>
    <row r="22" spans="2:7" ht="14.25">
      <c r="B22" s="77" t="s">
        <v>698</v>
      </c>
      <c r="C22" s="77">
        <v>550</v>
      </c>
      <c r="D22" s="77">
        <v>1800</v>
      </c>
      <c r="E22" s="77">
        <v>140</v>
      </c>
      <c r="F22" s="77">
        <f t="shared" si="0"/>
        <v>700</v>
      </c>
      <c r="G22" s="77">
        <f t="shared" si="1"/>
        <v>3190</v>
      </c>
    </row>
    <row r="23" spans="2:7" ht="14.25">
      <c r="B23" s="77" t="s">
        <v>699</v>
      </c>
      <c r="C23" s="77">
        <f aca="true" t="shared" si="2" ref="C23:D25">+C22</f>
        <v>550</v>
      </c>
      <c r="D23" s="77">
        <f t="shared" si="2"/>
        <v>1800</v>
      </c>
      <c r="E23" s="77">
        <v>150</v>
      </c>
      <c r="F23" s="77">
        <f t="shared" si="0"/>
        <v>700</v>
      </c>
      <c r="G23" s="77">
        <f t="shared" si="1"/>
        <v>3200</v>
      </c>
    </row>
    <row r="24" spans="2:7" ht="14.25">
      <c r="B24" s="77" t="s">
        <v>700</v>
      </c>
      <c r="C24" s="77">
        <f t="shared" si="2"/>
        <v>550</v>
      </c>
      <c r="D24" s="77">
        <f t="shared" si="2"/>
        <v>1800</v>
      </c>
      <c r="E24" s="77">
        <f>+E23</f>
        <v>150</v>
      </c>
      <c r="F24" s="77">
        <f t="shared" si="0"/>
        <v>700</v>
      </c>
      <c r="G24" s="77">
        <f t="shared" si="1"/>
        <v>3200</v>
      </c>
    </row>
    <row r="25" spans="2:7" ht="14.25">
      <c r="B25" s="77" t="s">
        <v>701</v>
      </c>
      <c r="C25" s="77">
        <f t="shared" si="2"/>
        <v>550</v>
      </c>
      <c r="D25" s="77">
        <f t="shared" si="2"/>
        <v>1800</v>
      </c>
      <c r="E25" s="77">
        <f>+E24</f>
        <v>150</v>
      </c>
      <c r="F25" s="77">
        <f t="shared" si="0"/>
        <v>700</v>
      </c>
      <c r="G25" s="77">
        <f t="shared" si="1"/>
        <v>3200</v>
      </c>
    </row>
    <row r="26" spans="3:7" ht="14.25">
      <c r="C26" s="77">
        <f>SUM(C19:C25)</f>
        <v>3550</v>
      </c>
      <c r="D26" s="77">
        <f>SUM(D19:D25)</f>
        <v>10900</v>
      </c>
      <c r="E26" s="77">
        <f>SUM(E19:E25)</f>
        <v>940</v>
      </c>
      <c r="F26" s="77">
        <f>SUM(F19:F25)</f>
        <v>4900</v>
      </c>
      <c r="G26" s="77">
        <f>SUM(G19:G25)</f>
        <v>20290</v>
      </c>
    </row>
    <row r="29" ht="14.25">
      <c r="B29" s="77" t="s">
        <v>707</v>
      </c>
    </row>
    <row r="30" ht="14.25">
      <c r="B30" s="77" t="s">
        <v>708</v>
      </c>
    </row>
    <row r="33" ht="14.25">
      <c r="B33" s="25" t="s">
        <v>223</v>
      </c>
    </row>
    <row r="35" spans="2:4" ht="14.25">
      <c r="B35" s="10" t="s">
        <v>123</v>
      </c>
      <c r="C35" s="77">
        <f>+F26</f>
        <v>4900</v>
      </c>
      <c r="D35" s="77" t="s">
        <v>67</v>
      </c>
    </row>
    <row r="36" spans="2:4" ht="14.25">
      <c r="B36" s="10" t="s">
        <v>702</v>
      </c>
      <c r="C36" s="77" t="s">
        <v>67</v>
      </c>
      <c r="D36" s="77">
        <f>+C35</f>
        <v>4900</v>
      </c>
    </row>
    <row r="37" spans="2:4" ht="15" thickBot="1">
      <c r="B37" s="9" t="s">
        <v>226</v>
      </c>
      <c r="C37" s="20">
        <f>SUM(C35:C36)</f>
        <v>4900</v>
      </c>
      <c r="D37" s="20">
        <f>SUM(D35:D36)</f>
        <v>4900</v>
      </c>
    </row>
    <row r="38" ht="15" thickTop="1"/>
  </sheetData>
  <sheetProtection/>
  <mergeCells count="1">
    <mergeCell ref="C17:F1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103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4.421875" style="10" customWidth="1"/>
    <col min="2" max="2" width="29.8515625" style="10" customWidth="1"/>
    <col min="3" max="16384" width="11.57421875" style="10" customWidth="1"/>
  </cols>
  <sheetData>
    <row r="2" spans="2:3" s="77" customFormat="1" ht="14.25">
      <c r="B2" s="9" t="s">
        <v>310</v>
      </c>
      <c r="C2" s="10"/>
    </row>
    <row r="3" spans="2:3" s="77" customFormat="1" ht="14.25">
      <c r="B3" s="10"/>
      <c r="C3" s="10"/>
    </row>
    <row r="4" spans="2:10" s="77" customFormat="1" ht="14.25">
      <c r="B4" s="25" t="s">
        <v>82</v>
      </c>
      <c r="C4" s="77" t="s">
        <v>83</v>
      </c>
      <c r="E4" s="10"/>
      <c r="F4" s="10"/>
      <c r="G4" s="10"/>
      <c r="H4" s="10"/>
      <c r="I4" s="10"/>
      <c r="J4" s="10"/>
    </row>
    <row r="5" spans="5:10" s="77" customFormat="1" ht="14.25">
      <c r="E5" s="10"/>
      <c r="F5" s="10"/>
      <c r="G5" s="10"/>
      <c r="H5" s="10"/>
      <c r="I5" s="10"/>
      <c r="J5" s="10"/>
    </row>
    <row r="6" spans="2:10" s="77" customFormat="1" ht="14.25">
      <c r="B6" s="25" t="s">
        <v>428</v>
      </c>
      <c r="C6" s="77" t="s">
        <v>710</v>
      </c>
      <c r="E6" s="10"/>
      <c r="F6" s="10"/>
      <c r="G6" s="10"/>
      <c r="H6" s="10"/>
      <c r="I6" s="10"/>
      <c r="J6" s="10"/>
    </row>
    <row r="7" spans="5:10" s="77" customFormat="1" ht="14.25">
      <c r="E7" s="10"/>
      <c r="F7" s="10"/>
      <c r="G7" s="10"/>
      <c r="H7" s="10"/>
      <c r="I7" s="10"/>
      <c r="J7" s="10"/>
    </row>
    <row r="8" spans="2:4" ht="14.25">
      <c r="B8" s="25" t="s">
        <v>560</v>
      </c>
      <c r="C8" s="77" t="s">
        <v>597</v>
      </c>
      <c r="D8" s="77"/>
    </row>
    <row r="9" spans="2:4" ht="14.25">
      <c r="B9" s="77"/>
      <c r="C9" s="77" t="s">
        <v>598</v>
      </c>
      <c r="D9" s="77"/>
    </row>
    <row r="10" spans="2:4" ht="14.25">
      <c r="B10" s="77"/>
      <c r="C10" s="77" t="s">
        <v>599</v>
      </c>
      <c r="D10" s="77"/>
    </row>
    <row r="11" spans="2:4" ht="14.25">
      <c r="B11" s="77"/>
      <c r="C11" s="77" t="s">
        <v>711</v>
      </c>
      <c r="D11" s="77"/>
    </row>
    <row r="12" spans="2:4" ht="14.25">
      <c r="B12" s="77"/>
      <c r="C12" s="77" t="s">
        <v>712</v>
      </c>
      <c r="D12" s="77"/>
    </row>
    <row r="13" spans="2:4" ht="14.25">
      <c r="B13" s="77"/>
      <c r="C13" s="77"/>
      <c r="D13" s="77"/>
    </row>
    <row r="14" spans="2:4" ht="14.25">
      <c r="B14" s="25" t="s">
        <v>438</v>
      </c>
      <c r="C14" s="77" t="s">
        <v>601</v>
      </c>
      <c r="D14" s="77"/>
    </row>
    <row r="15" ht="14.25">
      <c r="C15" s="77" t="s">
        <v>602</v>
      </c>
    </row>
    <row r="16" ht="14.25">
      <c r="C16" s="77" t="s">
        <v>603</v>
      </c>
    </row>
    <row r="17" ht="14.25">
      <c r="C17" s="77" t="s">
        <v>604</v>
      </c>
    </row>
    <row r="19" ht="14.25">
      <c r="B19" s="9" t="s">
        <v>713</v>
      </c>
    </row>
    <row r="20" ht="14.25">
      <c r="B20" s="9"/>
    </row>
    <row r="21" ht="14.25">
      <c r="B21" s="13" t="s">
        <v>37</v>
      </c>
    </row>
    <row r="22" spans="2:3" ht="14.25">
      <c r="B22" s="13" t="s">
        <v>38</v>
      </c>
      <c r="C22" s="35">
        <f>+'HT Inicial'!C48</f>
        <v>8000</v>
      </c>
    </row>
    <row r="23" spans="2:3" ht="14.25">
      <c r="B23" s="13" t="s">
        <v>39</v>
      </c>
      <c r="C23" s="35">
        <f>+'HT Inicial'!C49</f>
        <v>5000</v>
      </c>
    </row>
    <row r="24" spans="2:3" ht="14.25">
      <c r="B24" s="13" t="s">
        <v>40</v>
      </c>
      <c r="C24" s="35">
        <f>+'HT Inicial'!C50</f>
        <v>2000</v>
      </c>
    </row>
    <row r="25" spans="2:3" ht="14.25">
      <c r="B25" s="13" t="s">
        <v>41</v>
      </c>
      <c r="C25" s="35">
        <f>+'HT Inicial'!C51</f>
        <v>1000</v>
      </c>
    </row>
    <row r="26" spans="2:3" ht="14.25">
      <c r="B26" s="13" t="s">
        <v>42</v>
      </c>
      <c r="C26" s="35">
        <f>+'HT Inicial'!C52</f>
        <v>35600</v>
      </c>
    </row>
    <row r="27" spans="2:3" ht="14.25">
      <c r="B27" s="13" t="s">
        <v>43</v>
      </c>
      <c r="C27" s="35">
        <f>+'HT Inicial'!C53</f>
        <v>-10680</v>
      </c>
    </row>
    <row r="28" spans="2:3" ht="14.25">
      <c r="B28" s="13" t="s">
        <v>44</v>
      </c>
      <c r="C28" s="35">
        <f>+'HT Inicial'!C54</f>
        <v>21000</v>
      </c>
    </row>
    <row r="29" spans="2:3" ht="14.25">
      <c r="B29" s="13" t="s">
        <v>45</v>
      </c>
      <c r="C29" s="35">
        <f>+'HT Inicial'!C55</f>
        <v>1300</v>
      </c>
    </row>
    <row r="32" ht="14.25">
      <c r="B32" s="16" t="s">
        <v>311</v>
      </c>
    </row>
    <row r="34" ht="14.25">
      <c r="B34" s="10" t="s">
        <v>312</v>
      </c>
    </row>
    <row r="36" ht="14.25">
      <c r="B36" s="9" t="s">
        <v>223</v>
      </c>
    </row>
    <row r="38" spans="2:3" ht="14.25">
      <c r="B38" s="10" t="s">
        <v>123</v>
      </c>
      <c r="C38" s="19">
        <f>+C23</f>
        <v>5000</v>
      </c>
    </row>
    <row r="39" spans="2:4" ht="14.25">
      <c r="B39" s="10" t="s">
        <v>313</v>
      </c>
      <c r="D39" s="19">
        <f>+C38</f>
        <v>5000</v>
      </c>
    </row>
    <row r="40" spans="2:4" ht="15" thickBot="1">
      <c r="B40" s="9" t="s">
        <v>226</v>
      </c>
      <c r="C40" s="31">
        <f>SUM(C34:C39)</f>
        <v>5000</v>
      </c>
      <c r="D40" s="31">
        <f>SUM(D34:D39)</f>
        <v>5000</v>
      </c>
    </row>
    <row r="41" ht="15" thickTop="1"/>
    <row r="43" ht="14.25">
      <c r="B43" s="9" t="s">
        <v>314</v>
      </c>
    </row>
    <row r="45" ht="14.25">
      <c r="B45" s="10" t="s">
        <v>312</v>
      </c>
    </row>
    <row r="47" ht="14.25">
      <c r="B47" s="9" t="s">
        <v>223</v>
      </c>
    </row>
    <row r="49" spans="2:3" ht="14.25">
      <c r="B49" s="10" t="s">
        <v>123</v>
      </c>
      <c r="C49" s="19">
        <f>+C24</f>
        <v>2000</v>
      </c>
    </row>
    <row r="50" spans="2:4" ht="14.25">
      <c r="B50" s="10" t="s">
        <v>315</v>
      </c>
      <c r="D50" s="19">
        <f>+C49</f>
        <v>2000</v>
      </c>
    </row>
    <row r="51" spans="2:4" ht="15" thickBot="1">
      <c r="B51" s="9" t="s">
        <v>226</v>
      </c>
      <c r="C51" s="31">
        <f>SUM(C45:C50)</f>
        <v>2000</v>
      </c>
      <c r="D51" s="31">
        <f>SUM(D45:D50)</f>
        <v>2000</v>
      </c>
    </row>
    <row r="52" ht="15" thickTop="1"/>
    <row r="54" ht="14.25">
      <c r="B54" s="9" t="s">
        <v>316</v>
      </c>
    </row>
    <row r="56" ht="14.25">
      <c r="B56" s="10" t="s">
        <v>312</v>
      </c>
    </row>
    <row r="58" ht="14.25">
      <c r="B58" s="9" t="s">
        <v>223</v>
      </c>
    </row>
    <row r="60" spans="2:3" ht="14.25">
      <c r="B60" s="10" t="s">
        <v>123</v>
      </c>
      <c r="C60" s="19">
        <f>+C25</f>
        <v>1000</v>
      </c>
    </row>
    <row r="61" spans="2:4" ht="14.25">
      <c r="B61" s="10" t="s">
        <v>317</v>
      </c>
      <c r="D61" s="19">
        <f>+C60</f>
        <v>1000</v>
      </c>
    </row>
    <row r="62" spans="2:4" ht="15" thickBot="1">
      <c r="B62" s="9" t="s">
        <v>226</v>
      </c>
      <c r="C62" s="31">
        <f>SUM(C56:C61)</f>
        <v>1000</v>
      </c>
      <c r="D62" s="31">
        <f>SUM(D56:D61)</f>
        <v>1000</v>
      </c>
    </row>
    <row r="63" ht="15" thickTop="1"/>
    <row r="65" ht="14.25">
      <c r="B65" s="9" t="s">
        <v>318</v>
      </c>
    </row>
    <row r="67" ht="14.25">
      <c r="B67" s="10" t="s">
        <v>319</v>
      </c>
    </row>
    <row r="69" spans="2:3" ht="14.25">
      <c r="B69" s="10" t="s">
        <v>320</v>
      </c>
      <c r="C69" s="19">
        <f>+C28</f>
        <v>21000</v>
      </c>
    </row>
    <row r="70" spans="2:3" ht="14.25">
      <c r="B70" s="10" t="s">
        <v>159</v>
      </c>
      <c r="C70" s="77">
        <v>15000</v>
      </c>
    </row>
    <row r="71" spans="2:3" ht="14.25">
      <c r="B71" s="10" t="s">
        <v>321</v>
      </c>
      <c r="C71" s="19">
        <f>+C69-C70</f>
        <v>6000</v>
      </c>
    </row>
    <row r="73" ht="14.25">
      <c r="B73" s="9" t="s">
        <v>223</v>
      </c>
    </row>
    <row r="75" spans="2:3" ht="14.25">
      <c r="B75" s="10" t="s">
        <v>123</v>
      </c>
      <c r="C75" s="19">
        <f>+C71</f>
        <v>6000</v>
      </c>
    </row>
    <row r="76" spans="2:4" ht="14.25">
      <c r="B76" s="10" t="s">
        <v>322</v>
      </c>
      <c r="D76" s="19">
        <f>+C75</f>
        <v>6000</v>
      </c>
    </row>
    <row r="77" spans="2:4" ht="15" thickBot="1">
      <c r="B77" s="9" t="s">
        <v>226</v>
      </c>
      <c r="C77" s="31">
        <f>SUM(C75:C76)</f>
        <v>6000</v>
      </c>
      <c r="D77" s="31">
        <f>SUM(D75:D76)</f>
        <v>6000</v>
      </c>
    </row>
    <row r="78" ht="15" thickTop="1"/>
    <row r="80" ht="14.25">
      <c r="B80" s="9" t="s">
        <v>323</v>
      </c>
    </row>
    <row r="83" spans="2:3" ht="14.25">
      <c r="B83" s="10" t="s">
        <v>324</v>
      </c>
      <c r="C83" s="19">
        <f>+C29</f>
        <v>1300</v>
      </c>
    </row>
    <row r="85" ht="14.25">
      <c r="B85" s="9" t="s">
        <v>223</v>
      </c>
    </row>
    <row r="87" spans="2:3" ht="14.25">
      <c r="B87" s="10" t="s">
        <v>123</v>
      </c>
      <c r="C87" s="19">
        <f>+C83</f>
        <v>1300</v>
      </c>
    </row>
    <row r="88" spans="2:4" ht="14.25">
      <c r="B88" s="10" t="s">
        <v>325</v>
      </c>
      <c r="D88" s="19">
        <f>+C87</f>
        <v>1300</v>
      </c>
    </row>
    <row r="89" spans="2:4" ht="15" thickBot="1">
      <c r="B89" s="9" t="s">
        <v>226</v>
      </c>
      <c r="C89" s="31">
        <f>SUM(C84:C88)</f>
        <v>1300</v>
      </c>
      <c r="D89" s="31">
        <f>SUM(D84:D88)</f>
        <v>1300</v>
      </c>
    </row>
    <row r="90" ht="15" thickTop="1"/>
    <row r="92" spans="2:3" ht="14.25">
      <c r="B92" s="9" t="s">
        <v>326</v>
      </c>
      <c r="C92" s="19">
        <f>+C22</f>
        <v>8000</v>
      </c>
    </row>
    <row r="94" ht="14.25">
      <c r="B94" s="10" t="s">
        <v>199</v>
      </c>
    </row>
    <row r="95" spans="2:4" ht="14.25">
      <c r="B95" s="10" t="s">
        <v>327</v>
      </c>
      <c r="C95" s="27">
        <v>0.7</v>
      </c>
      <c r="D95" s="77">
        <f>+C92*C95</f>
        <v>5600</v>
      </c>
    </row>
    <row r="96" spans="2:5" ht="14.25">
      <c r="B96" s="10" t="s">
        <v>328</v>
      </c>
      <c r="C96" s="27">
        <v>0.3</v>
      </c>
      <c r="D96" s="77">
        <f>+C96*C92</f>
        <v>2400</v>
      </c>
      <c r="E96" s="10" t="s">
        <v>714</v>
      </c>
    </row>
    <row r="97" ht="14.25">
      <c r="E97" s="10" t="s">
        <v>715</v>
      </c>
    </row>
    <row r="98" spans="2:5" ht="14.25">
      <c r="B98" s="9" t="s">
        <v>67</v>
      </c>
      <c r="E98" s="10" t="s">
        <v>716</v>
      </c>
    </row>
    <row r="100" ht="14.25">
      <c r="B100" s="10" t="s">
        <v>717</v>
      </c>
    </row>
    <row r="101" ht="14.25">
      <c r="B101" s="10" t="s">
        <v>718</v>
      </c>
    </row>
    <row r="102" ht="14.25">
      <c r="B102" s="10" t="s">
        <v>67</v>
      </c>
    </row>
    <row r="103" ht="14.25">
      <c r="B103" s="10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92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5.28125" style="10" customWidth="1"/>
    <col min="2" max="2" width="51.57421875" style="10" customWidth="1"/>
    <col min="3" max="16384" width="11.57421875" style="10" customWidth="1"/>
  </cols>
  <sheetData>
    <row r="2" spans="2:8" ht="14.25">
      <c r="B2" s="9" t="s">
        <v>725</v>
      </c>
      <c r="D2" s="77"/>
      <c r="E2" s="77"/>
      <c r="F2" s="77"/>
      <c r="G2" s="77"/>
      <c r="H2" s="77"/>
    </row>
    <row r="3" spans="4:8" ht="14.25">
      <c r="D3" s="77"/>
      <c r="E3" s="77"/>
      <c r="F3" s="77"/>
      <c r="G3" s="77"/>
      <c r="H3" s="77"/>
    </row>
    <row r="4" spans="2:8" ht="14.25">
      <c r="B4" s="9" t="s">
        <v>82</v>
      </c>
      <c r="C4" s="10" t="s">
        <v>83</v>
      </c>
      <c r="D4" s="77"/>
      <c r="E4" s="77"/>
      <c r="F4" s="77"/>
      <c r="G4" s="77"/>
      <c r="H4" s="77"/>
    </row>
    <row r="5" spans="3:8" ht="14.25">
      <c r="C5" s="10" t="s">
        <v>67</v>
      </c>
      <c r="D5" s="77"/>
      <c r="E5" s="77"/>
      <c r="F5" s="77"/>
      <c r="G5" s="77"/>
      <c r="H5" s="77"/>
    </row>
    <row r="6" spans="2:8" ht="14.25">
      <c r="B6" s="10" t="s">
        <v>650</v>
      </c>
      <c r="C6" s="10" t="s">
        <v>726</v>
      </c>
      <c r="D6" s="77"/>
      <c r="E6" s="77"/>
      <c r="F6" s="77"/>
      <c r="G6" s="77"/>
      <c r="H6" s="77"/>
    </row>
    <row r="7" spans="4:8" ht="14.25">
      <c r="D7" s="77"/>
      <c r="E7" s="77"/>
      <c r="F7" s="77"/>
      <c r="G7" s="77"/>
      <c r="H7" s="77"/>
    </row>
    <row r="8" spans="2:8" ht="14.25">
      <c r="B8" s="9" t="s">
        <v>508</v>
      </c>
      <c r="C8" s="10" t="s">
        <v>251</v>
      </c>
      <c r="D8" s="77"/>
      <c r="E8" s="77"/>
      <c r="F8" s="77"/>
      <c r="G8" s="77"/>
      <c r="H8" s="77"/>
    </row>
    <row r="9" spans="2:8" ht="14.25">
      <c r="B9" s="77"/>
      <c r="C9" s="77" t="s">
        <v>252</v>
      </c>
      <c r="D9" s="77"/>
      <c r="E9" s="77"/>
      <c r="F9" s="77"/>
      <c r="G9" s="77"/>
      <c r="H9" s="77"/>
    </row>
    <row r="10" spans="2:8" ht="14.25">
      <c r="B10" s="77"/>
      <c r="C10" s="77" t="s">
        <v>727</v>
      </c>
      <c r="D10" s="77"/>
      <c r="E10" s="77"/>
      <c r="F10" s="77"/>
      <c r="G10" s="77"/>
      <c r="H10" s="77"/>
    </row>
    <row r="11" spans="2:8" ht="14.25">
      <c r="B11" s="77"/>
      <c r="C11" s="77" t="s">
        <v>728</v>
      </c>
      <c r="D11" s="77"/>
      <c r="E11" s="77"/>
      <c r="F11" s="77"/>
      <c r="G11" s="77"/>
      <c r="H11" s="77"/>
    </row>
    <row r="12" ht="14.25">
      <c r="C12" s="10" t="s">
        <v>253</v>
      </c>
    </row>
    <row r="13" ht="14.25">
      <c r="C13" s="10" t="s">
        <v>254</v>
      </c>
    </row>
    <row r="14" ht="14.25">
      <c r="C14" s="77" t="s">
        <v>737</v>
      </c>
    </row>
    <row r="15" ht="14.25">
      <c r="B15" s="9" t="s">
        <v>85</v>
      </c>
    </row>
    <row r="17" ht="14.25">
      <c r="B17" s="9" t="s">
        <v>329</v>
      </c>
    </row>
    <row r="18" spans="3:4" ht="14.25">
      <c r="C18" s="12" t="s">
        <v>140</v>
      </c>
      <c r="D18" s="11" t="s">
        <v>729</v>
      </c>
    </row>
    <row r="19" spans="2:4" ht="14.25">
      <c r="B19" s="10" t="s">
        <v>330</v>
      </c>
      <c r="C19" s="77">
        <v>7000</v>
      </c>
      <c r="D19" s="10" t="s">
        <v>331</v>
      </c>
    </row>
    <row r="20" spans="2:4" ht="14.25">
      <c r="B20" s="10" t="s">
        <v>332</v>
      </c>
      <c r="C20" s="77">
        <v>20000</v>
      </c>
      <c r="D20" s="10" t="s">
        <v>331</v>
      </c>
    </row>
    <row r="21" spans="2:4" ht="14.25">
      <c r="B21" s="10" t="s">
        <v>333</v>
      </c>
      <c r="C21" s="77">
        <v>3000</v>
      </c>
      <c r="D21" s="10" t="s">
        <v>331</v>
      </c>
    </row>
    <row r="22" spans="2:4" ht="14.25">
      <c r="B22" s="10" t="s">
        <v>334</v>
      </c>
      <c r="C22" s="77">
        <v>4000</v>
      </c>
      <c r="D22" s="10" t="s">
        <v>335</v>
      </c>
    </row>
    <row r="23" spans="2:4" ht="14.25">
      <c r="B23" s="10" t="s">
        <v>336</v>
      </c>
      <c r="C23" s="77">
        <v>1600</v>
      </c>
      <c r="D23" s="10" t="s">
        <v>335</v>
      </c>
    </row>
    <row r="24" spans="2:3" ht="14.25">
      <c r="B24" s="10" t="s">
        <v>215</v>
      </c>
      <c r="C24" s="77">
        <f>SUM(C19:C23)</f>
        <v>35600</v>
      </c>
    </row>
    <row r="25" spans="2:4" ht="14.25">
      <c r="B25" s="10" t="s">
        <v>337</v>
      </c>
      <c r="C25" s="19">
        <f>+'[1]Bce local'!C48</f>
        <v>-10680</v>
      </c>
      <c r="D25" s="10" t="s">
        <v>730</v>
      </c>
    </row>
    <row r="26" spans="2:3" ht="14.25">
      <c r="B26" s="10" t="s">
        <v>211</v>
      </c>
      <c r="C26" s="19">
        <f>+C24+C25</f>
        <v>24920</v>
      </c>
    </row>
    <row r="28" ht="14.25">
      <c r="B28" s="9" t="s">
        <v>731</v>
      </c>
    </row>
    <row r="30" spans="2:3" ht="14.25">
      <c r="B30" s="10" t="s">
        <v>123</v>
      </c>
      <c r="C30" s="19">
        <f>+C22+C23</f>
        <v>5600</v>
      </c>
    </row>
    <row r="31" spans="2:4" ht="14.25">
      <c r="B31" s="10" t="s">
        <v>338</v>
      </c>
      <c r="D31" s="19">
        <f>+C30</f>
        <v>5600</v>
      </c>
    </row>
    <row r="32" spans="2:4" ht="15" thickBot="1">
      <c r="B32" s="9" t="s">
        <v>226</v>
      </c>
      <c r="C32" s="31">
        <f>SUM(C30:C31)</f>
        <v>5600</v>
      </c>
      <c r="D32" s="31">
        <f>SUM(D30:D31)</f>
        <v>5600</v>
      </c>
    </row>
    <row r="33" ht="15" thickTop="1"/>
    <row r="35" ht="14.25">
      <c r="B35" s="9" t="s">
        <v>732</v>
      </c>
    </row>
    <row r="37" spans="2:3" ht="14.25">
      <c r="B37" s="10" t="s">
        <v>339</v>
      </c>
      <c r="C37" s="21">
        <f>+C24</f>
        <v>35600</v>
      </c>
    </row>
    <row r="38" spans="2:3" ht="14.25">
      <c r="B38" s="10" t="s">
        <v>340</v>
      </c>
      <c r="C38" s="19">
        <f>+C25</f>
        <v>-10680</v>
      </c>
    </row>
    <row r="39" spans="2:3" ht="14.25">
      <c r="B39" s="10" t="s">
        <v>341</v>
      </c>
      <c r="C39" s="68">
        <f>-C38/C37</f>
        <v>0.3</v>
      </c>
    </row>
    <row r="40" spans="2:3" ht="14.25">
      <c r="B40" s="10" t="s">
        <v>342</v>
      </c>
      <c r="C40" s="10">
        <v>5</v>
      </c>
    </row>
    <row r="41" spans="2:3" ht="14.25">
      <c r="B41" s="10" t="s">
        <v>343</v>
      </c>
      <c r="C41" s="36">
        <f>+C39*C40</f>
        <v>1.5</v>
      </c>
    </row>
    <row r="43" spans="2:3" ht="14.25">
      <c r="B43" s="10" t="s">
        <v>733</v>
      </c>
      <c r="C43" s="19">
        <f>+C24-D31</f>
        <v>30000</v>
      </c>
    </row>
    <row r="44" spans="2:3" ht="14.25">
      <c r="B44" s="10" t="s">
        <v>734</v>
      </c>
      <c r="C44" s="10">
        <v>7</v>
      </c>
    </row>
    <row r="45" spans="2:3" ht="14.25">
      <c r="B45" s="10" t="s">
        <v>344</v>
      </c>
      <c r="C45" s="73">
        <f>+C43/C44</f>
        <v>4285.714285714285</v>
      </c>
    </row>
    <row r="46" spans="2:3" ht="14.25">
      <c r="B46" s="10" t="s">
        <v>345</v>
      </c>
      <c r="C46" s="36">
        <f>+C41</f>
        <v>1.5</v>
      </c>
    </row>
    <row r="47" spans="2:3" ht="14.25">
      <c r="B47" s="10" t="s">
        <v>735</v>
      </c>
      <c r="C47" s="77">
        <f>+C45*C46</f>
        <v>6428.5714285714275</v>
      </c>
    </row>
    <row r="48" spans="2:3" ht="14.25">
      <c r="B48" s="10" t="s">
        <v>346</v>
      </c>
      <c r="C48" s="19">
        <f>-C38</f>
        <v>10680</v>
      </c>
    </row>
    <row r="49" spans="2:3" ht="14.25">
      <c r="B49" s="10" t="s">
        <v>248</v>
      </c>
      <c r="C49" s="19">
        <f>+C47-C48</f>
        <v>-4251.4285714285725</v>
      </c>
    </row>
    <row r="51" ht="14.25">
      <c r="B51" s="9" t="s">
        <v>736</v>
      </c>
    </row>
    <row r="53" spans="2:3" ht="14.25">
      <c r="B53" s="10" t="s">
        <v>347</v>
      </c>
      <c r="C53" s="19">
        <f>-C49</f>
        <v>4251.4285714285725</v>
      </c>
    </row>
    <row r="54" spans="2:4" ht="14.25">
      <c r="B54" s="10" t="s">
        <v>99</v>
      </c>
      <c r="D54" s="19">
        <f>+C53</f>
        <v>4251.4285714285725</v>
      </c>
    </row>
    <row r="55" spans="2:4" ht="15" thickBot="1">
      <c r="B55" s="9" t="s">
        <v>226</v>
      </c>
      <c r="C55" s="31">
        <f>SUM(C53:C54)</f>
        <v>4251.4285714285725</v>
      </c>
      <c r="D55" s="31">
        <f>SUM(D53:D54)</f>
        <v>4251.4285714285725</v>
      </c>
    </row>
    <row r="56" ht="15" thickTop="1"/>
    <row r="58" ht="14.25">
      <c r="B58" s="9" t="s">
        <v>348</v>
      </c>
    </row>
    <row r="60" ht="14.25">
      <c r="B60" s="10" t="s">
        <v>349</v>
      </c>
    </row>
    <row r="62" spans="2:3" ht="14.25">
      <c r="B62" s="10" t="s">
        <v>350</v>
      </c>
      <c r="C62" s="77">
        <v>3500</v>
      </c>
    </row>
    <row r="63" spans="2:3" ht="14.25">
      <c r="B63" s="10" t="s">
        <v>351</v>
      </c>
      <c r="C63" s="36">
        <f>+C44-C46</f>
        <v>5.5</v>
      </c>
    </row>
    <row r="64" spans="2:3" ht="14.25">
      <c r="B64" s="10" t="s">
        <v>352</v>
      </c>
      <c r="C64" s="27">
        <v>0.07</v>
      </c>
    </row>
    <row r="65" spans="2:3" ht="14.25">
      <c r="B65" s="10" t="s">
        <v>353</v>
      </c>
      <c r="C65" s="77">
        <f>+C62*(1+C64)^C63</f>
        <v>5077.837769727682</v>
      </c>
    </row>
    <row r="66" spans="2:3" ht="14.25">
      <c r="B66" s="10" t="s">
        <v>354</v>
      </c>
      <c r="C66" s="27">
        <v>0.09</v>
      </c>
    </row>
    <row r="67" spans="2:4" ht="14.25">
      <c r="B67" s="10" t="s">
        <v>355</v>
      </c>
      <c r="C67" s="77">
        <f>+C65/(1+C66)^C63</f>
        <v>3161.0625016234235</v>
      </c>
      <c r="D67" s="10" t="s">
        <v>356</v>
      </c>
    </row>
    <row r="68" ht="14.25">
      <c r="D68" s="10" t="s">
        <v>738</v>
      </c>
    </row>
    <row r="70" ht="14.25">
      <c r="B70" s="9" t="s">
        <v>223</v>
      </c>
    </row>
    <row r="72" spans="2:3" ht="14.25">
      <c r="B72" s="10" t="s">
        <v>357</v>
      </c>
      <c r="C72" s="19">
        <f>+D73</f>
        <v>3161.0625016234235</v>
      </c>
    </row>
    <row r="73" spans="2:4" ht="14.25">
      <c r="B73" s="10" t="s">
        <v>358</v>
      </c>
      <c r="D73" s="19">
        <f>+C67</f>
        <v>3161.0625016234235</v>
      </c>
    </row>
    <row r="74" spans="2:4" ht="15" thickBot="1">
      <c r="B74" s="9" t="s">
        <v>226</v>
      </c>
      <c r="C74" s="31">
        <f>SUM(C72:C73)</f>
        <v>3161.0625016234235</v>
      </c>
      <c r="D74" s="31">
        <f>SUM(D72:D73)</f>
        <v>3161.0625016234235</v>
      </c>
    </row>
    <row r="75" ht="15" thickTop="1"/>
    <row r="77" ht="14.25">
      <c r="B77" s="9" t="s">
        <v>359</v>
      </c>
    </row>
    <row r="78" spans="3:5" ht="14.25">
      <c r="C78" s="10" t="s">
        <v>209</v>
      </c>
      <c r="D78" s="10" t="s">
        <v>360</v>
      </c>
      <c r="E78" s="10" t="s">
        <v>211</v>
      </c>
    </row>
    <row r="79" spans="2:5" ht="14.25">
      <c r="B79" s="10" t="s">
        <v>172</v>
      </c>
      <c r="C79" s="21">
        <f>+C24</f>
        <v>35600</v>
      </c>
      <c r="D79" s="19">
        <f>-C25</f>
        <v>10680</v>
      </c>
      <c r="E79" s="19">
        <f>+C79-D79</f>
        <v>24920</v>
      </c>
    </row>
    <row r="80" ht="14.25">
      <c r="B80" s="10" t="s">
        <v>361</v>
      </c>
    </row>
    <row r="81" spans="2:5" ht="14.25">
      <c r="B81" s="10" t="s">
        <v>362</v>
      </c>
      <c r="C81" s="19">
        <f>-D31</f>
        <v>-5600</v>
      </c>
      <c r="E81" s="19">
        <f>+C81-D81</f>
        <v>-5600</v>
      </c>
    </row>
    <row r="82" spans="2:5" ht="14.25">
      <c r="B82" s="10" t="s">
        <v>363</v>
      </c>
      <c r="D82" s="19">
        <f>-C53</f>
        <v>-4251.4285714285725</v>
      </c>
      <c r="E82" s="19">
        <f>+C82-D82</f>
        <v>4251.4285714285725</v>
      </c>
    </row>
    <row r="83" spans="2:5" ht="14.25">
      <c r="B83" s="10" t="s">
        <v>364</v>
      </c>
      <c r="C83" s="19">
        <f>+C72</f>
        <v>3161.0625016234235</v>
      </c>
      <c r="E83" s="19">
        <f>+C83-D83</f>
        <v>3161.0625016234235</v>
      </c>
    </row>
    <row r="84" spans="2:5" ht="14.25">
      <c r="B84" s="10" t="s">
        <v>196</v>
      </c>
      <c r="C84" s="21">
        <f>SUM(C79:C83)</f>
        <v>33161.062501623426</v>
      </c>
      <c r="D84" s="21">
        <f>SUM(D79:D83)</f>
        <v>6428.5714285714275</v>
      </c>
      <c r="E84" s="21">
        <f>SUM(E79:E83)</f>
        <v>26732.491073051995</v>
      </c>
    </row>
    <row r="85" spans="4:5" ht="14.25">
      <c r="D85" s="21" t="s">
        <v>67</v>
      </c>
      <c r="E85" s="21" t="s">
        <v>67</v>
      </c>
    </row>
    <row r="86" ht="14.25">
      <c r="B86" s="9" t="s">
        <v>739</v>
      </c>
    </row>
    <row r="88" spans="2:3" ht="14.25">
      <c r="B88" s="10" t="s">
        <v>225</v>
      </c>
      <c r="C88" s="21">
        <f>+C84</f>
        <v>33161.062501623426</v>
      </c>
    </row>
    <row r="89" spans="2:4" ht="14.25">
      <c r="B89" s="10" t="s">
        <v>365</v>
      </c>
      <c r="D89" s="21">
        <f>+C88</f>
        <v>33161.062501623426</v>
      </c>
    </row>
    <row r="90" spans="2:3" ht="14.25">
      <c r="B90" s="10" t="s">
        <v>366</v>
      </c>
      <c r="C90" s="21">
        <f>+D84</f>
        <v>6428.5714285714275</v>
      </c>
    </row>
    <row r="91" spans="2:4" ht="14.25">
      <c r="B91" s="10" t="s">
        <v>301</v>
      </c>
      <c r="D91" s="21">
        <f>+D84</f>
        <v>6428.5714285714275</v>
      </c>
    </row>
    <row r="92" spans="2:4" ht="15" thickBot="1">
      <c r="B92" s="9" t="s">
        <v>226</v>
      </c>
      <c r="C92" s="31">
        <f>SUM(C88:C91)</f>
        <v>39589.633930194854</v>
      </c>
      <c r="D92" s="31">
        <f>SUM(D88:D91)</f>
        <v>39589.633930194854</v>
      </c>
    </row>
    <row r="93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2.140625" style="10" customWidth="1"/>
    <col min="2" max="2" width="35.00390625" style="10" customWidth="1"/>
    <col min="3" max="16384" width="11.421875" style="10" customWidth="1"/>
  </cols>
  <sheetData>
    <row r="2" s="77" customFormat="1" ht="14.25">
      <c r="B2" s="25" t="s">
        <v>742</v>
      </c>
    </row>
    <row r="3" s="77" customFormat="1" ht="14.25"/>
    <row r="4" spans="2:3" s="77" customFormat="1" ht="14.25">
      <c r="B4" s="25" t="s">
        <v>82</v>
      </c>
      <c r="C4" s="77" t="s">
        <v>83</v>
      </c>
    </row>
    <row r="5" s="77" customFormat="1" ht="14.25"/>
    <row r="6" spans="2:3" s="77" customFormat="1" ht="14.25">
      <c r="B6" s="25" t="s">
        <v>428</v>
      </c>
      <c r="C6" s="77" t="s">
        <v>743</v>
      </c>
    </row>
    <row r="7" spans="2:3" s="77" customFormat="1" ht="14.25">
      <c r="B7" s="10"/>
      <c r="C7" s="10"/>
    </row>
    <row r="8" spans="2:3" s="77" customFormat="1" ht="14.25">
      <c r="B8" s="9" t="s">
        <v>438</v>
      </c>
      <c r="C8" s="10" t="s">
        <v>744</v>
      </c>
    </row>
    <row r="9" spans="2:3" s="77" customFormat="1" ht="14.25">
      <c r="B9" s="9"/>
      <c r="C9" s="10"/>
    </row>
    <row r="10" spans="2:10" ht="14.25">
      <c r="B10" s="9" t="s">
        <v>85</v>
      </c>
      <c r="C10" s="10" t="s">
        <v>745</v>
      </c>
      <c r="D10" s="77"/>
      <c r="E10" s="77"/>
      <c r="F10" s="77"/>
      <c r="G10" s="77"/>
      <c r="H10" s="77"/>
      <c r="I10" s="77"/>
      <c r="J10" s="77"/>
    </row>
    <row r="11" spans="2:10" ht="14.25">
      <c r="B11" s="77"/>
      <c r="C11" s="77"/>
      <c r="D11" s="77"/>
      <c r="E11" s="77"/>
      <c r="F11" s="77"/>
      <c r="G11" s="77"/>
      <c r="H11" s="77"/>
      <c r="I11" s="77"/>
      <c r="J11" s="77"/>
    </row>
    <row r="12" spans="2:10" ht="14.25">
      <c r="B12" s="25" t="s">
        <v>441</v>
      </c>
      <c r="C12" s="77"/>
      <c r="D12" s="77"/>
      <c r="E12" s="77"/>
      <c r="F12" s="77"/>
      <c r="G12" s="77"/>
      <c r="H12" s="77"/>
      <c r="I12" s="77"/>
      <c r="J12" s="77"/>
    </row>
    <row r="14" ht="14.25">
      <c r="B14" s="9" t="s">
        <v>746</v>
      </c>
    </row>
    <row r="16" ht="14.25">
      <c r="B16" s="13" t="s">
        <v>46</v>
      </c>
    </row>
    <row r="17" spans="2:4" ht="14.25">
      <c r="B17" s="13" t="s">
        <v>47</v>
      </c>
      <c r="C17" s="18">
        <f>+'HT Inicial'!C59</f>
        <v>6000</v>
      </c>
      <c r="D17" s="10" t="s">
        <v>747</v>
      </c>
    </row>
    <row r="18" spans="2:4" ht="14.25">
      <c r="B18" s="13" t="s">
        <v>48</v>
      </c>
      <c r="C18" s="18">
        <f>+'HT Inicial'!C60</f>
        <v>5000</v>
      </c>
      <c r="D18" s="10" t="s">
        <v>747</v>
      </c>
    </row>
    <row r="19" spans="2:5" ht="14.25">
      <c r="B19" s="13" t="s">
        <v>23</v>
      </c>
      <c r="C19" s="18">
        <f>+'HT Inicial'!C61</f>
        <v>3000</v>
      </c>
      <c r="D19" s="10" t="s">
        <v>173</v>
      </c>
      <c r="E19" s="19">
        <f>+C19</f>
        <v>3000</v>
      </c>
    </row>
    <row r="20" ht="14.25">
      <c r="E20" s="19" t="s">
        <v>67</v>
      </c>
    </row>
    <row r="23" ht="14.25">
      <c r="B23" s="9" t="s">
        <v>750</v>
      </c>
    </row>
    <row r="25" ht="14.25">
      <c r="B25" s="10" t="s">
        <v>371</v>
      </c>
    </row>
    <row r="27" ht="14.25">
      <c r="B27" s="9" t="s">
        <v>751</v>
      </c>
    </row>
    <row r="29" ht="14.25">
      <c r="B29" s="10" t="s">
        <v>748</v>
      </c>
    </row>
    <row r="31" spans="2:3" ht="14.25">
      <c r="B31" s="10" t="s">
        <v>372</v>
      </c>
      <c r="C31" s="19">
        <f>+C17</f>
        <v>6000</v>
      </c>
    </row>
    <row r="33" ht="14.25">
      <c r="B33" s="9" t="s">
        <v>749</v>
      </c>
    </row>
    <row r="34" spans="3:4" ht="14.25">
      <c r="C34" s="77"/>
      <c r="D34" s="77"/>
    </row>
    <row r="35" spans="2:4" ht="14.25">
      <c r="B35" s="10" t="s">
        <v>123</v>
      </c>
      <c r="C35" s="77">
        <f>+'HT Inicial'!C61</f>
        <v>3000</v>
      </c>
      <c r="D35" s="77"/>
    </row>
    <row r="36" spans="2:4" ht="14.25">
      <c r="B36" s="10" t="s">
        <v>752</v>
      </c>
      <c r="C36" s="77"/>
      <c r="D36" s="77">
        <f>+C35</f>
        <v>3000</v>
      </c>
    </row>
    <row r="37" spans="2:4" ht="14.25">
      <c r="B37" s="10" t="s">
        <v>753</v>
      </c>
      <c r="C37" s="77"/>
      <c r="D37" s="77"/>
    </row>
    <row r="38" spans="3:4" ht="15" thickBot="1">
      <c r="C38" s="20">
        <f>SUM(C35:C37)</f>
        <v>3000</v>
      </c>
      <c r="D38" s="20">
        <f>SUM(D35:D37)</f>
        <v>3000</v>
      </c>
    </row>
    <row r="39" ht="15" thickTop="1"/>
    <row r="41" ht="14.25">
      <c r="B41" s="9" t="s">
        <v>754</v>
      </c>
    </row>
    <row r="42" spans="3:5" ht="14.25">
      <c r="C42" s="77"/>
      <c r="D42" s="77"/>
      <c r="E42" s="77"/>
    </row>
    <row r="43" spans="2:5" ht="14.25">
      <c r="B43" s="10" t="s">
        <v>755</v>
      </c>
      <c r="C43" s="77">
        <f>+'HT Inicial'!C65</f>
        <v>11000</v>
      </c>
      <c r="D43" s="77"/>
      <c r="E43" s="77"/>
    </row>
    <row r="44" spans="2:5" ht="14.25">
      <c r="B44" s="10" t="s">
        <v>756</v>
      </c>
      <c r="C44" s="77"/>
      <c r="D44" s="77">
        <f>+C43</f>
        <v>11000</v>
      </c>
      <c r="E44" s="77"/>
    </row>
    <row r="45" spans="3:5" ht="14.25">
      <c r="C45" s="77"/>
      <c r="D45" s="77"/>
      <c r="E45" s="77"/>
    </row>
    <row r="46" spans="3:5" ht="15" thickBot="1">
      <c r="C46" s="20">
        <f>SUM(C43:C45)</f>
        <v>11000</v>
      </c>
      <c r="D46" s="20">
        <f>SUM(D43:D45)</f>
        <v>11000</v>
      </c>
      <c r="E46" s="77"/>
    </row>
    <row r="47" spans="3:5" ht="15" thickTop="1">
      <c r="C47" s="77"/>
      <c r="D47" s="77"/>
      <c r="E47" s="77"/>
    </row>
    <row r="49" ht="14.25">
      <c r="B49" s="9" t="s">
        <v>777</v>
      </c>
    </row>
    <row r="51" spans="2:3" ht="14.25">
      <c r="B51" s="10" t="s">
        <v>97</v>
      </c>
      <c r="C51" s="19">
        <f>+C17+C18</f>
        <v>11000</v>
      </c>
    </row>
    <row r="52" ht="14.25">
      <c r="B52" s="10" t="s">
        <v>779</v>
      </c>
    </row>
    <row r="53" ht="14.25">
      <c r="B53" s="10" t="s">
        <v>370</v>
      </c>
    </row>
    <row r="54" spans="2:4" ht="14.25">
      <c r="B54" s="10" t="s">
        <v>88</v>
      </c>
      <c r="D54" s="19">
        <f>+C17</f>
        <v>6000</v>
      </c>
    </row>
    <row r="55" spans="2:4" ht="14.25">
      <c r="B55" s="10" t="s">
        <v>780</v>
      </c>
      <c r="D55" s="19">
        <f>+C18</f>
        <v>5000</v>
      </c>
    </row>
    <row r="57" spans="3:4" ht="15" thickBot="1">
      <c r="C57" s="20">
        <f>SUM(C51:C56)</f>
        <v>11000</v>
      </c>
      <c r="D57" s="20">
        <f>SUM(D51:D56)</f>
        <v>11000</v>
      </c>
    </row>
    <row r="58" ht="15" thickTop="1"/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K128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9.421875" style="10" customWidth="1"/>
    <col min="2" max="2" width="32.57421875" style="10" customWidth="1"/>
    <col min="3" max="3" width="11.57421875" style="10" bestFit="1" customWidth="1"/>
    <col min="4" max="16384" width="11.57421875" style="10" customWidth="1"/>
  </cols>
  <sheetData>
    <row r="2" s="77" customFormat="1" ht="14.25">
      <c r="B2" s="25" t="s">
        <v>782</v>
      </c>
    </row>
    <row r="3" s="77" customFormat="1" ht="14.25"/>
    <row r="4" spans="2:3" s="77" customFormat="1" ht="14.25">
      <c r="B4" s="25" t="s">
        <v>82</v>
      </c>
      <c r="C4" s="77" t="s">
        <v>83</v>
      </c>
    </row>
    <row r="5" s="77" customFormat="1" ht="14.25"/>
    <row r="6" spans="2:3" s="77" customFormat="1" ht="14.25">
      <c r="B6" s="25" t="s">
        <v>428</v>
      </c>
      <c r="C6" s="77" t="s">
        <v>464</v>
      </c>
    </row>
    <row r="7" s="77" customFormat="1" ht="14.25"/>
    <row r="8" spans="2:3" s="77" customFormat="1" ht="14.25">
      <c r="B8" s="25" t="s">
        <v>438</v>
      </c>
      <c r="C8" s="77" t="s">
        <v>783</v>
      </c>
    </row>
    <row r="9" spans="2:3" s="77" customFormat="1" ht="14.25">
      <c r="B9" s="25"/>
      <c r="C9" s="77" t="s">
        <v>784</v>
      </c>
    </row>
    <row r="10" spans="2:11" ht="14.25">
      <c r="B10" s="25"/>
      <c r="C10" s="77" t="s">
        <v>67</v>
      </c>
      <c r="D10" s="77"/>
      <c r="E10" s="77"/>
      <c r="F10" s="77"/>
      <c r="G10" s="77"/>
      <c r="H10" s="77"/>
      <c r="I10" s="77"/>
      <c r="J10" s="77"/>
      <c r="K10" s="77"/>
    </row>
    <row r="11" spans="2:11" ht="14.25">
      <c r="B11" s="25" t="s">
        <v>85</v>
      </c>
      <c r="C11" s="77" t="s">
        <v>785</v>
      </c>
      <c r="D11" s="77"/>
      <c r="E11" s="77"/>
      <c r="F11" s="77"/>
      <c r="G11" s="77"/>
      <c r="H11" s="77"/>
      <c r="I11" s="77"/>
      <c r="J11" s="77"/>
      <c r="K11" s="77"/>
    </row>
    <row r="12" spans="2:11" ht="14.25">
      <c r="B12" s="77"/>
      <c r="C12" s="77" t="s">
        <v>786</v>
      </c>
      <c r="D12" s="77"/>
      <c r="E12" s="77"/>
      <c r="F12" s="77"/>
      <c r="G12" s="77"/>
      <c r="H12" s="77"/>
      <c r="I12" s="77"/>
      <c r="J12" s="77"/>
      <c r="K12" s="77"/>
    </row>
    <row r="13" spans="2:11" ht="14.25">
      <c r="B13" s="77"/>
      <c r="C13" s="77" t="s">
        <v>787</v>
      </c>
      <c r="D13" s="77"/>
      <c r="E13" s="77"/>
      <c r="F13" s="77"/>
      <c r="G13" s="77"/>
      <c r="H13" s="77"/>
      <c r="I13" s="77"/>
      <c r="J13" s="77"/>
      <c r="K13" s="77"/>
    </row>
    <row r="14" spans="2:11" ht="14.25">
      <c r="B14" s="77"/>
      <c r="C14" s="77" t="s">
        <v>797</v>
      </c>
      <c r="D14" s="77"/>
      <c r="E14" s="77"/>
      <c r="F14" s="77"/>
      <c r="G14" s="77"/>
      <c r="H14" s="77"/>
      <c r="I14" s="77"/>
      <c r="J14" s="77"/>
      <c r="K14" s="77"/>
    </row>
    <row r="16" ht="14.25">
      <c r="B16" s="9" t="s">
        <v>375</v>
      </c>
    </row>
    <row r="18" ht="14.25">
      <c r="B18" s="37" t="s">
        <v>376</v>
      </c>
    </row>
    <row r="19" ht="14.25">
      <c r="B19" s="10" t="s">
        <v>788</v>
      </c>
    </row>
    <row r="21" ht="14.25">
      <c r="B21" s="9" t="s">
        <v>377</v>
      </c>
    </row>
    <row r="23" spans="2:3" ht="14.25">
      <c r="B23" s="10" t="s">
        <v>378</v>
      </c>
      <c r="C23" s="77">
        <v>71000</v>
      </c>
    </row>
    <row r="24" spans="2:3" ht="14.25">
      <c r="B24" s="10" t="s">
        <v>388</v>
      </c>
      <c r="C24" s="77">
        <f>+'HT Inicial'!C69</f>
        <v>59500</v>
      </c>
    </row>
    <row r="25" spans="2:3" ht="14.25">
      <c r="B25" s="10" t="s">
        <v>380</v>
      </c>
      <c r="C25" s="77">
        <v>2565</v>
      </c>
    </row>
    <row r="26" spans="2:3" ht="14.25">
      <c r="B26" s="10" t="s">
        <v>163</v>
      </c>
      <c r="C26" s="77">
        <f>+C24+C25</f>
        <v>62065</v>
      </c>
    </row>
    <row r="28" ht="14.25">
      <c r="B28" s="9" t="s">
        <v>389</v>
      </c>
    </row>
    <row r="30" ht="14.25">
      <c r="B30" s="10" t="s">
        <v>789</v>
      </c>
    </row>
    <row r="32" spans="2:3" ht="14.25">
      <c r="B32" s="10" t="s">
        <v>790</v>
      </c>
      <c r="C32" s="77">
        <f>+C23</f>
        <v>71000</v>
      </c>
    </row>
    <row r="33" spans="2:3" ht="14.25">
      <c r="B33" s="10" t="s">
        <v>791</v>
      </c>
      <c r="C33" s="77">
        <v>-1500</v>
      </c>
    </row>
    <row r="34" spans="2:3" ht="14.25">
      <c r="B34" s="10" t="s">
        <v>211</v>
      </c>
      <c r="C34" s="77">
        <f>+C32+C33</f>
        <v>69500</v>
      </c>
    </row>
    <row r="35" ht="14.25">
      <c r="C35" s="77"/>
    </row>
    <row r="36" ht="14.25">
      <c r="B36" s="10" t="s">
        <v>794</v>
      </c>
    </row>
    <row r="38" spans="2:3" ht="14.25">
      <c r="B38" s="12" t="s">
        <v>793</v>
      </c>
      <c r="C38" s="12" t="s">
        <v>140</v>
      </c>
    </row>
    <row r="39" spans="2:3" ht="14.25">
      <c r="B39" s="10" t="s">
        <v>792</v>
      </c>
      <c r="C39" s="21">
        <f>+C34</f>
        <v>69500</v>
      </c>
    </row>
    <row r="40" spans="2:3" ht="14.25">
      <c r="B40" s="10">
        <v>1</v>
      </c>
      <c r="C40" s="10">
        <v>-2358.22</v>
      </c>
    </row>
    <row r="41" spans="2:3" ht="14.25">
      <c r="B41" s="10">
        <v>2</v>
      </c>
      <c r="C41" s="10">
        <f>+C40</f>
        <v>-2358.22</v>
      </c>
    </row>
    <row r="42" spans="2:3" ht="14.25">
      <c r="B42" s="10">
        <v>3</v>
      </c>
      <c r="C42" s="10">
        <f aca="true" t="shared" si="0" ref="C42:C75">+C41</f>
        <v>-2358.22</v>
      </c>
    </row>
    <row r="43" spans="2:3" ht="14.25">
      <c r="B43" s="10">
        <v>4</v>
      </c>
      <c r="C43" s="10">
        <f t="shared" si="0"/>
        <v>-2358.22</v>
      </c>
    </row>
    <row r="44" spans="2:3" ht="14.25">
      <c r="B44" s="10">
        <v>5</v>
      </c>
      <c r="C44" s="10">
        <f t="shared" si="0"/>
        <v>-2358.22</v>
      </c>
    </row>
    <row r="45" spans="2:3" ht="14.25">
      <c r="B45" s="10">
        <v>6</v>
      </c>
      <c r="C45" s="10">
        <f t="shared" si="0"/>
        <v>-2358.22</v>
      </c>
    </row>
    <row r="46" spans="2:3" ht="14.25">
      <c r="B46" s="10">
        <v>7</v>
      </c>
      <c r="C46" s="10">
        <f t="shared" si="0"/>
        <v>-2358.22</v>
      </c>
    </row>
    <row r="47" spans="2:3" ht="14.25">
      <c r="B47" s="10">
        <v>8</v>
      </c>
      <c r="C47" s="10">
        <f t="shared" si="0"/>
        <v>-2358.22</v>
      </c>
    </row>
    <row r="48" spans="2:3" ht="14.25">
      <c r="B48" s="10">
        <v>9</v>
      </c>
      <c r="C48" s="10">
        <f t="shared" si="0"/>
        <v>-2358.22</v>
      </c>
    </row>
    <row r="49" spans="2:3" ht="14.25">
      <c r="B49" s="10">
        <v>10</v>
      </c>
      <c r="C49" s="10">
        <f t="shared" si="0"/>
        <v>-2358.22</v>
      </c>
    </row>
    <row r="50" spans="2:3" ht="14.25">
      <c r="B50" s="10">
        <v>11</v>
      </c>
      <c r="C50" s="10">
        <f t="shared" si="0"/>
        <v>-2358.22</v>
      </c>
    </row>
    <row r="51" spans="2:3" ht="14.25">
      <c r="B51" s="10">
        <v>12</v>
      </c>
      <c r="C51" s="10">
        <f t="shared" si="0"/>
        <v>-2358.22</v>
      </c>
    </row>
    <row r="52" spans="2:3" ht="14.25">
      <c r="B52" s="10">
        <v>13</v>
      </c>
      <c r="C52" s="10">
        <f t="shared" si="0"/>
        <v>-2358.22</v>
      </c>
    </row>
    <row r="53" spans="2:3" ht="14.25">
      <c r="B53" s="10">
        <v>14</v>
      </c>
      <c r="C53" s="10">
        <f t="shared" si="0"/>
        <v>-2358.22</v>
      </c>
    </row>
    <row r="54" spans="2:3" ht="14.25">
      <c r="B54" s="10">
        <v>15</v>
      </c>
      <c r="C54" s="10">
        <f t="shared" si="0"/>
        <v>-2358.22</v>
      </c>
    </row>
    <row r="55" spans="2:3" ht="14.25">
      <c r="B55" s="10">
        <v>16</v>
      </c>
      <c r="C55" s="10">
        <f t="shared" si="0"/>
        <v>-2358.22</v>
      </c>
    </row>
    <row r="56" spans="2:3" ht="14.25">
      <c r="B56" s="10">
        <v>17</v>
      </c>
      <c r="C56" s="10">
        <f t="shared" si="0"/>
        <v>-2358.22</v>
      </c>
    </row>
    <row r="57" spans="2:3" ht="14.25">
      <c r="B57" s="10">
        <v>18</v>
      </c>
      <c r="C57" s="10">
        <f t="shared" si="0"/>
        <v>-2358.22</v>
      </c>
    </row>
    <row r="58" spans="2:3" ht="14.25">
      <c r="B58" s="10">
        <v>19</v>
      </c>
      <c r="C58" s="10">
        <f t="shared" si="0"/>
        <v>-2358.22</v>
      </c>
    </row>
    <row r="59" spans="2:3" ht="14.25">
      <c r="B59" s="10">
        <v>20</v>
      </c>
      <c r="C59" s="10">
        <f t="shared" si="0"/>
        <v>-2358.22</v>
      </c>
    </row>
    <row r="60" spans="2:3" ht="14.25">
      <c r="B60" s="10">
        <v>21</v>
      </c>
      <c r="C60" s="10">
        <f t="shared" si="0"/>
        <v>-2358.22</v>
      </c>
    </row>
    <row r="61" spans="2:3" ht="14.25">
      <c r="B61" s="10">
        <v>22</v>
      </c>
      <c r="C61" s="10">
        <f t="shared" si="0"/>
        <v>-2358.22</v>
      </c>
    </row>
    <row r="62" spans="2:3" ht="14.25">
      <c r="B62" s="10">
        <v>23</v>
      </c>
      <c r="C62" s="10">
        <f t="shared" si="0"/>
        <v>-2358.22</v>
      </c>
    </row>
    <row r="63" spans="2:3" ht="14.25">
      <c r="B63" s="10">
        <v>24</v>
      </c>
      <c r="C63" s="10">
        <f t="shared" si="0"/>
        <v>-2358.22</v>
      </c>
    </row>
    <row r="64" spans="2:3" ht="14.25">
      <c r="B64" s="10">
        <v>25</v>
      </c>
      <c r="C64" s="10">
        <f t="shared" si="0"/>
        <v>-2358.22</v>
      </c>
    </row>
    <row r="65" spans="2:3" ht="14.25">
      <c r="B65" s="10">
        <v>26</v>
      </c>
      <c r="C65" s="10">
        <f t="shared" si="0"/>
        <v>-2358.22</v>
      </c>
    </row>
    <row r="66" spans="2:3" ht="14.25">
      <c r="B66" s="10">
        <v>27</v>
      </c>
      <c r="C66" s="10">
        <f t="shared" si="0"/>
        <v>-2358.22</v>
      </c>
    </row>
    <row r="67" spans="2:3" ht="14.25">
      <c r="B67" s="10">
        <v>28</v>
      </c>
      <c r="C67" s="10">
        <f t="shared" si="0"/>
        <v>-2358.22</v>
      </c>
    </row>
    <row r="68" spans="2:3" ht="14.25">
      <c r="B68" s="10">
        <v>29</v>
      </c>
      <c r="C68" s="10">
        <f t="shared" si="0"/>
        <v>-2358.22</v>
      </c>
    </row>
    <row r="69" spans="2:3" ht="14.25">
      <c r="B69" s="10">
        <v>30</v>
      </c>
      <c r="C69" s="10">
        <f t="shared" si="0"/>
        <v>-2358.22</v>
      </c>
    </row>
    <row r="70" spans="2:3" ht="14.25">
      <c r="B70" s="10">
        <v>31</v>
      </c>
      <c r="C70" s="10">
        <f t="shared" si="0"/>
        <v>-2358.22</v>
      </c>
    </row>
    <row r="71" spans="2:3" ht="14.25">
      <c r="B71" s="10">
        <v>32</v>
      </c>
      <c r="C71" s="10">
        <f t="shared" si="0"/>
        <v>-2358.22</v>
      </c>
    </row>
    <row r="72" spans="2:3" ht="14.25">
      <c r="B72" s="10">
        <v>33</v>
      </c>
      <c r="C72" s="10">
        <f t="shared" si="0"/>
        <v>-2358.22</v>
      </c>
    </row>
    <row r="73" spans="2:3" ht="14.25">
      <c r="B73" s="10">
        <v>34</v>
      </c>
      <c r="C73" s="10">
        <f t="shared" si="0"/>
        <v>-2358.22</v>
      </c>
    </row>
    <row r="74" spans="2:3" ht="14.25">
      <c r="B74" s="10">
        <v>35</v>
      </c>
      <c r="C74" s="10">
        <f t="shared" si="0"/>
        <v>-2358.22</v>
      </c>
    </row>
    <row r="75" spans="2:3" ht="14.25">
      <c r="B75" s="10">
        <v>36</v>
      </c>
      <c r="C75" s="10">
        <f t="shared" si="0"/>
        <v>-2358.22</v>
      </c>
    </row>
    <row r="77" spans="2:4" ht="14.25">
      <c r="B77" s="10" t="s">
        <v>795</v>
      </c>
      <c r="C77" s="54">
        <f>IRR(C39:C75)</f>
        <v>0.01124299732365186</v>
      </c>
      <c r="D77" s="10" t="s">
        <v>116</v>
      </c>
    </row>
    <row r="79" ht="14.25">
      <c r="B79" s="10" t="s">
        <v>796</v>
      </c>
    </row>
    <row r="81" spans="2:8" ht="14.25">
      <c r="B81" s="56" t="s">
        <v>147</v>
      </c>
      <c r="C81" s="56" t="s">
        <v>793</v>
      </c>
      <c r="D81" s="12" t="s">
        <v>390</v>
      </c>
      <c r="E81" s="12" t="s">
        <v>142</v>
      </c>
      <c r="F81" s="12" t="s">
        <v>292</v>
      </c>
      <c r="G81" s="12" t="s">
        <v>391</v>
      </c>
      <c r="H81" s="12" t="s">
        <v>120</v>
      </c>
    </row>
    <row r="82" spans="2:8" ht="14.25">
      <c r="B82" s="66">
        <v>41791</v>
      </c>
      <c r="C82" s="10">
        <v>1</v>
      </c>
      <c r="D82" s="21">
        <f>+C39</f>
        <v>69500</v>
      </c>
      <c r="E82" s="77">
        <f>+D82*$C$77</f>
        <v>781.3883139938042</v>
      </c>
      <c r="F82" s="10">
        <f aca="true" t="shared" si="1" ref="F82:F117">+C40</f>
        <v>-2358.22</v>
      </c>
      <c r="G82" s="77">
        <f aca="true" t="shared" si="2" ref="G82:G88">+D82+E82+F82</f>
        <v>67923.1683139938</v>
      </c>
      <c r="H82" s="77"/>
    </row>
    <row r="83" spans="2:8" ht="14.25">
      <c r="B83" s="66">
        <v>41821</v>
      </c>
      <c r="C83" s="10">
        <v>2</v>
      </c>
      <c r="D83" s="21">
        <f aca="true" t="shared" si="3" ref="D83:D88">+G82</f>
        <v>67923.1683139938</v>
      </c>
      <c r="E83" s="77">
        <f>+D83*$C$77</f>
        <v>763.659999568187</v>
      </c>
      <c r="F83" s="10">
        <f t="shared" si="1"/>
        <v>-2358.22</v>
      </c>
      <c r="G83" s="77">
        <f t="shared" si="2"/>
        <v>66328.60831356198</v>
      </c>
      <c r="H83" s="77"/>
    </row>
    <row r="84" spans="2:8" ht="14.25">
      <c r="B84" s="66">
        <v>41852</v>
      </c>
      <c r="C84" s="10">
        <v>3</v>
      </c>
      <c r="D84" s="21">
        <f t="shared" si="3"/>
        <v>66328.60831356198</v>
      </c>
      <c r="E84" s="77">
        <f aca="true" t="shared" si="4" ref="E84:E117">+D84*$C$77</f>
        <v>745.73236575093</v>
      </c>
      <c r="F84" s="10">
        <f t="shared" si="1"/>
        <v>-2358.22</v>
      </c>
      <c r="G84" s="77">
        <f t="shared" si="2"/>
        <v>64716.12067931291</v>
      </c>
      <c r="H84" s="77"/>
    </row>
    <row r="85" spans="2:8" ht="14.25">
      <c r="B85" s="66">
        <v>41883</v>
      </c>
      <c r="C85" s="10">
        <v>4</v>
      </c>
      <c r="D85" s="21">
        <f t="shared" si="3"/>
        <v>64716.12067931291</v>
      </c>
      <c r="E85" s="77">
        <f t="shared" si="4"/>
        <v>727.6031715946458</v>
      </c>
      <c r="F85" s="10">
        <f t="shared" si="1"/>
        <v>-2358.22</v>
      </c>
      <c r="G85" s="77">
        <f t="shared" si="2"/>
        <v>63085.50385090755</v>
      </c>
      <c r="H85" s="77"/>
    </row>
    <row r="86" spans="2:8" ht="14.25">
      <c r="B86" s="66">
        <v>41913</v>
      </c>
      <c r="C86" s="10">
        <v>5</v>
      </c>
      <c r="D86" s="21">
        <f t="shared" si="3"/>
        <v>63085.50385090755</v>
      </c>
      <c r="E86" s="77">
        <f t="shared" si="4"/>
        <v>709.2701509569828</v>
      </c>
      <c r="F86" s="10">
        <f t="shared" si="1"/>
        <v>-2358.22</v>
      </c>
      <c r="G86" s="77">
        <f t="shared" si="2"/>
        <v>61436.55400186453</v>
      </c>
      <c r="H86" s="77"/>
    </row>
    <row r="87" spans="2:8" ht="14.25">
      <c r="B87" s="66">
        <v>41944</v>
      </c>
      <c r="C87" s="10">
        <v>6</v>
      </c>
      <c r="D87" s="21">
        <f t="shared" si="3"/>
        <v>61436.55400186453</v>
      </c>
      <c r="E87" s="77">
        <f t="shared" si="4"/>
        <v>690.7310122173559</v>
      </c>
      <c r="F87" s="10">
        <f t="shared" si="1"/>
        <v>-2358.22</v>
      </c>
      <c r="G87" s="77">
        <f t="shared" si="2"/>
        <v>59769.06501408189</v>
      </c>
      <c r="H87" s="77"/>
    </row>
    <row r="88" spans="2:8" ht="14.25">
      <c r="B88" s="66">
        <v>41974</v>
      </c>
      <c r="C88" s="10">
        <v>7</v>
      </c>
      <c r="D88" s="21">
        <f t="shared" si="3"/>
        <v>59769.06501408189</v>
      </c>
      <c r="E88" s="77">
        <f t="shared" si="4"/>
        <v>671.9834379904967</v>
      </c>
      <c r="F88" s="10">
        <f t="shared" si="1"/>
        <v>-2358.22</v>
      </c>
      <c r="G88" s="77">
        <f t="shared" si="2"/>
        <v>58082.82845207238</v>
      </c>
      <c r="H88" s="77"/>
    </row>
    <row r="89" spans="2:8" ht="14.25">
      <c r="B89" s="66">
        <v>42005</v>
      </c>
      <c r="C89" s="10">
        <f>+C88+1</f>
        <v>8</v>
      </c>
      <c r="D89" s="21">
        <f aca="true" t="shared" si="5" ref="D89:D117">+G88</f>
        <v>58082.82845207238</v>
      </c>
      <c r="E89" s="77">
        <f t="shared" si="4"/>
        <v>653.0250848367799</v>
      </c>
      <c r="F89" s="10">
        <f t="shared" si="1"/>
        <v>-2358.22</v>
      </c>
      <c r="G89" s="77">
        <f aca="true" t="shared" si="6" ref="G89:G117">+D89+E89+F89</f>
        <v>56377.63353690916</v>
      </c>
      <c r="H89" s="77">
        <f aca="true" t="shared" si="7" ref="H89:H117">-F89/(1+$C$77)^(C89-$C$88)</f>
        <v>2332.0013154516246</v>
      </c>
    </row>
    <row r="90" spans="2:8" ht="14.25">
      <c r="B90" s="66">
        <v>42036</v>
      </c>
      <c r="C90" s="10">
        <f aca="true" t="shared" si="8" ref="C90:C117">+C89+1</f>
        <v>9</v>
      </c>
      <c r="D90" s="21">
        <f t="shared" si="5"/>
        <v>56377.63353690916</v>
      </c>
      <c r="E90" s="77">
        <f t="shared" si="4"/>
        <v>633.8535829692951</v>
      </c>
      <c r="F90" s="10">
        <f t="shared" si="1"/>
        <v>-2358.22</v>
      </c>
      <c r="G90" s="77">
        <f t="shared" si="6"/>
        <v>54653.26711987845</v>
      </c>
      <c r="H90" s="77">
        <f t="shared" si="7"/>
        <v>2306.0741301778917</v>
      </c>
    </row>
    <row r="91" spans="2:8" ht="14.25">
      <c r="B91" s="66">
        <v>42064</v>
      </c>
      <c r="C91" s="10">
        <f t="shared" si="8"/>
        <v>10</v>
      </c>
      <c r="D91" s="21">
        <f t="shared" si="5"/>
        <v>54653.26711987845</v>
      </c>
      <c r="E91" s="77">
        <f t="shared" si="4"/>
        <v>614.4665359576236</v>
      </c>
      <c r="F91" s="10">
        <f t="shared" si="1"/>
        <v>-2358.22</v>
      </c>
      <c r="G91" s="77">
        <f t="shared" si="6"/>
        <v>52909.513655836075</v>
      </c>
      <c r="H91" s="77">
        <f t="shared" si="7"/>
        <v>2280.435203290535</v>
      </c>
    </row>
    <row r="92" spans="2:8" ht="14.25">
      <c r="B92" s="66">
        <v>42095</v>
      </c>
      <c r="C92" s="10">
        <f t="shared" si="8"/>
        <v>11</v>
      </c>
      <c r="D92" s="21">
        <f t="shared" si="5"/>
        <v>52909.513655836075</v>
      </c>
      <c r="E92" s="77">
        <f t="shared" si="4"/>
        <v>594.8615204282866</v>
      </c>
      <c r="F92" s="10">
        <f t="shared" si="1"/>
        <v>-2358.22</v>
      </c>
      <c r="G92" s="77">
        <f t="shared" si="6"/>
        <v>51146.15517626436</v>
      </c>
      <c r="H92" s="77">
        <f t="shared" si="7"/>
        <v>2255.0813299334754</v>
      </c>
    </row>
    <row r="93" spans="2:8" ht="14.25">
      <c r="B93" s="66">
        <v>42125</v>
      </c>
      <c r="C93" s="10">
        <f t="shared" si="8"/>
        <v>12</v>
      </c>
      <c r="D93" s="21">
        <f t="shared" si="5"/>
        <v>51146.15517626436</v>
      </c>
      <c r="E93" s="77">
        <f t="shared" si="4"/>
        <v>575.0360857618228</v>
      </c>
      <c r="F93" s="10">
        <f t="shared" si="1"/>
        <v>-2358.22</v>
      </c>
      <c r="G93" s="77">
        <f t="shared" si="6"/>
        <v>49362.97126202618</v>
      </c>
      <c r="H93" s="77">
        <f t="shared" si="7"/>
        <v>2230.009340882218</v>
      </c>
    </row>
    <row r="94" spans="2:8" ht="14.25">
      <c r="B94" s="66">
        <v>42156</v>
      </c>
      <c r="C94" s="10">
        <f t="shared" si="8"/>
        <v>13</v>
      </c>
      <c r="D94" s="21">
        <f t="shared" si="5"/>
        <v>49362.97126202618</v>
      </c>
      <c r="E94" s="77">
        <f t="shared" si="4"/>
        <v>554.9877537864639</v>
      </c>
      <c r="F94" s="10">
        <f t="shared" si="1"/>
        <v>-2358.22</v>
      </c>
      <c r="G94" s="77">
        <f t="shared" si="6"/>
        <v>47559.73901581264</v>
      </c>
      <c r="H94" s="77">
        <f t="shared" si="7"/>
        <v>2205.2161021476973</v>
      </c>
    </row>
    <row r="95" spans="2:8" ht="14.25">
      <c r="B95" s="66">
        <v>42186</v>
      </c>
      <c r="C95" s="10">
        <f t="shared" si="8"/>
        <v>14</v>
      </c>
      <c r="D95" s="21">
        <f t="shared" si="5"/>
        <v>47559.73901581264</v>
      </c>
      <c r="E95" s="77">
        <f t="shared" si="4"/>
        <v>534.7140184683625</v>
      </c>
      <c r="F95" s="10">
        <f t="shared" si="1"/>
        <v>-2358.22</v>
      </c>
      <c r="G95" s="77">
        <f t="shared" si="6"/>
        <v>45736.233034281</v>
      </c>
      <c r="H95" s="77">
        <f t="shared" si="7"/>
        <v>2180.698514584532</v>
      </c>
    </row>
    <row r="96" spans="2:8" ht="14.25">
      <c r="B96" s="66">
        <v>42217</v>
      </c>
      <c r="C96" s="10">
        <f t="shared" si="8"/>
        <v>15</v>
      </c>
      <c r="D96" s="21">
        <f t="shared" si="5"/>
        <v>45736.233034281</v>
      </c>
      <c r="E96" s="77">
        <f t="shared" si="4"/>
        <v>514.2123455983391</v>
      </c>
      <c r="F96" s="10">
        <f t="shared" si="1"/>
        <v>-2358.22</v>
      </c>
      <c r="G96" s="77">
        <f t="shared" si="6"/>
        <v>43892.22537987934</v>
      </c>
      <c r="H96" s="77">
        <f t="shared" si="7"/>
        <v>2156.453513503631</v>
      </c>
    </row>
    <row r="97" spans="2:8" ht="14.25">
      <c r="B97" s="66">
        <v>42248</v>
      </c>
      <c r="C97" s="10">
        <f t="shared" si="8"/>
        <v>16</v>
      </c>
      <c r="D97" s="21">
        <f t="shared" si="5"/>
        <v>43892.22537987934</v>
      </c>
      <c r="E97" s="77">
        <f t="shared" si="4"/>
        <v>493.4801724751076</v>
      </c>
      <c r="F97" s="10">
        <f t="shared" si="1"/>
        <v>-2358.22</v>
      </c>
      <c r="G97" s="77">
        <f t="shared" si="6"/>
        <v>42027.48555235445</v>
      </c>
      <c r="H97" s="77">
        <f t="shared" si="7"/>
        <v>2132.47806828911</v>
      </c>
    </row>
    <row r="98" spans="2:8" ht="14.25">
      <c r="B98" s="66">
        <v>42278</v>
      </c>
      <c r="C98" s="10">
        <f t="shared" si="8"/>
        <v>17</v>
      </c>
      <c r="D98" s="21">
        <f t="shared" si="5"/>
        <v>42027.48555235445</v>
      </c>
      <c r="E98" s="77">
        <f t="shared" si="4"/>
        <v>472.51490758493827</v>
      </c>
      <c r="F98" s="10">
        <f t="shared" si="1"/>
        <v>-2358.22</v>
      </c>
      <c r="G98" s="77">
        <f t="shared" si="6"/>
        <v>40141.780459939386</v>
      </c>
      <c r="H98" s="77">
        <f t="shared" si="7"/>
        <v>2108.7691820194655</v>
      </c>
    </row>
    <row r="99" spans="2:8" ht="14.25">
      <c r="B99" s="66">
        <v>42309</v>
      </c>
      <c r="C99" s="10">
        <f t="shared" si="8"/>
        <v>18</v>
      </c>
      <c r="D99" s="21">
        <f t="shared" si="5"/>
        <v>40141.780459939386</v>
      </c>
      <c r="E99" s="77">
        <f t="shared" si="4"/>
        <v>451.31393027771907</v>
      </c>
      <c r="F99" s="10">
        <f t="shared" si="1"/>
        <v>-2358.22</v>
      </c>
      <c r="G99" s="77">
        <f t="shared" si="6"/>
        <v>38234.874390217105</v>
      </c>
      <c r="H99" s="77">
        <f t="shared" si="7"/>
        <v>2085.32389109296</v>
      </c>
    </row>
    <row r="100" spans="2:8" ht="14.25">
      <c r="B100" s="66">
        <v>42339</v>
      </c>
      <c r="C100" s="10">
        <f t="shared" si="8"/>
        <v>19</v>
      </c>
      <c r="D100" s="21">
        <f t="shared" si="5"/>
        <v>38234.874390217105</v>
      </c>
      <c r="E100" s="77">
        <f t="shared" si="4"/>
        <v>429.87459043937594</v>
      </c>
      <c r="F100" s="10">
        <f t="shared" si="1"/>
        <v>-2358.22</v>
      </c>
      <c r="G100" s="77">
        <f t="shared" si="6"/>
        <v>36306.528980656476</v>
      </c>
      <c r="H100" s="77">
        <f t="shared" si="7"/>
        <v>2062.139264857173</v>
      </c>
    </row>
    <row r="101" spans="2:8" ht="14.25">
      <c r="B101" s="66">
        <v>42370</v>
      </c>
      <c r="C101" s="10">
        <f t="shared" si="8"/>
        <v>20</v>
      </c>
      <c r="D101" s="21">
        <f t="shared" si="5"/>
        <v>36306.528980656476</v>
      </c>
      <c r="E101" s="77">
        <f t="shared" si="4"/>
        <v>408.19420816060943</v>
      </c>
      <c r="F101" s="10">
        <f t="shared" si="1"/>
        <v>-2358.22</v>
      </c>
      <c r="G101" s="77">
        <f t="shared" si="6"/>
        <v>34356.503188817085</v>
      </c>
      <c r="H101" s="77">
        <f t="shared" si="7"/>
        <v>2039.2124052426727</v>
      </c>
    </row>
    <row r="102" spans="2:8" ht="14.25">
      <c r="B102" s="66">
        <v>42401</v>
      </c>
      <c r="C102" s="10">
        <f t="shared" si="8"/>
        <v>21</v>
      </c>
      <c r="D102" s="21">
        <f t="shared" si="5"/>
        <v>34356.503188817085</v>
      </c>
      <c r="E102" s="77">
        <f t="shared" si="4"/>
        <v>386.2700734019071</v>
      </c>
      <c r="F102" s="10">
        <f t="shared" si="1"/>
        <v>-2358.22</v>
      </c>
      <c r="G102" s="77">
        <f t="shared" si="6"/>
        <v>32384.553262218993</v>
      </c>
      <c r="H102" s="77">
        <f t="shared" si="7"/>
        <v>2016.5404464007527</v>
      </c>
    </row>
    <row r="103" spans="2:8" ht="14.25">
      <c r="B103" s="66">
        <v>42430</v>
      </c>
      <c r="C103" s="10">
        <f t="shared" si="8"/>
        <v>22</v>
      </c>
      <c r="D103" s="21">
        <f t="shared" si="5"/>
        <v>32384.553262218993</v>
      </c>
      <c r="E103" s="77">
        <f t="shared" si="4"/>
        <v>364.09944565478924</v>
      </c>
      <c r="F103" s="10">
        <f t="shared" si="1"/>
        <v>-2358.22</v>
      </c>
      <c r="G103" s="77">
        <f t="shared" si="6"/>
        <v>30390.43270787378</v>
      </c>
      <c r="H103" s="77">
        <f t="shared" si="7"/>
        <v>1994.1205543452108</v>
      </c>
    </row>
    <row r="104" spans="2:8" ht="14.25">
      <c r="B104" s="66">
        <v>42461</v>
      </c>
      <c r="C104" s="10">
        <f t="shared" si="8"/>
        <v>23</v>
      </c>
      <c r="D104" s="21">
        <f t="shared" si="5"/>
        <v>30390.43270787378</v>
      </c>
      <c r="E104" s="77">
        <f t="shared" si="4"/>
        <v>341.67955359924684</v>
      </c>
      <c r="F104" s="10">
        <f t="shared" si="1"/>
        <v>-2358.22</v>
      </c>
      <c r="G104" s="77">
        <f t="shared" si="6"/>
        <v>28373.892261473025</v>
      </c>
      <c r="H104" s="77">
        <f t="shared" si="7"/>
        <v>1971.9499265980926</v>
      </c>
    </row>
    <row r="105" spans="2:8" ht="14.25">
      <c r="B105" s="66">
        <v>42491</v>
      </c>
      <c r="C105" s="10">
        <f t="shared" si="8"/>
        <v>24</v>
      </c>
      <c r="D105" s="21">
        <f t="shared" si="5"/>
        <v>28373.892261473025</v>
      </c>
      <c r="E105" s="77">
        <f t="shared" si="4"/>
        <v>319.00759475732747</v>
      </c>
      <c r="F105" s="10">
        <f t="shared" si="1"/>
        <v>-2358.22</v>
      </c>
      <c r="G105" s="77">
        <f t="shared" si="6"/>
        <v>26334.679856230352</v>
      </c>
      <c r="H105" s="77">
        <f t="shared" si="7"/>
        <v>1950.0257918393904</v>
      </c>
    </row>
    <row r="106" spans="2:8" ht="14.25">
      <c r="B106" s="66">
        <v>42522</v>
      </c>
      <c r="C106" s="10">
        <f t="shared" si="8"/>
        <v>25</v>
      </c>
      <c r="D106" s="21">
        <f t="shared" si="5"/>
        <v>26334.679856230352</v>
      </c>
      <c r="E106" s="77">
        <f t="shared" si="4"/>
        <v>296.08073514282637</v>
      </c>
      <c r="F106" s="10">
        <f t="shared" si="1"/>
        <v>-2358.22</v>
      </c>
      <c r="G106" s="77">
        <f t="shared" si="6"/>
        <v>24272.540591373177</v>
      </c>
      <c r="H106" s="77">
        <f t="shared" si="7"/>
        <v>1928.3454095606237</v>
      </c>
    </row>
    <row r="107" spans="2:8" ht="14.25">
      <c r="B107" s="66">
        <v>42552</v>
      </c>
      <c r="C107" s="10">
        <f t="shared" si="8"/>
        <v>26</v>
      </c>
      <c r="D107" s="21">
        <f t="shared" si="5"/>
        <v>24272.540591373177</v>
      </c>
      <c r="E107" s="77">
        <f t="shared" si="4"/>
        <v>272.8961089070398</v>
      </c>
      <c r="F107" s="10">
        <f t="shared" si="1"/>
        <v>-2358.22</v>
      </c>
      <c r="G107" s="77">
        <f t="shared" si="6"/>
        <v>22187.216700280216</v>
      </c>
      <c r="H107" s="77">
        <f t="shared" si="7"/>
        <v>1906.9060697222808</v>
      </c>
    </row>
    <row r="108" spans="2:8" ht="14.25">
      <c r="B108" s="66">
        <v>42583</v>
      </c>
      <c r="C108" s="10">
        <f t="shared" si="8"/>
        <v>27</v>
      </c>
      <c r="D108" s="21">
        <f t="shared" si="5"/>
        <v>22187.216700280216</v>
      </c>
      <c r="E108" s="77">
        <f t="shared" si="4"/>
        <v>249.4508179805343</v>
      </c>
      <c r="F108" s="10">
        <f t="shared" si="1"/>
        <v>-2358.22</v>
      </c>
      <c r="G108" s="77">
        <f t="shared" si="6"/>
        <v>20078.44751826075</v>
      </c>
      <c r="H108" s="77">
        <f t="shared" si="7"/>
        <v>1885.7050924150615</v>
      </c>
    </row>
    <row r="109" spans="2:8" ht="14.25">
      <c r="B109" s="66">
        <v>42614</v>
      </c>
      <c r="C109" s="10">
        <f t="shared" si="8"/>
        <v>28</v>
      </c>
      <c r="D109" s="21">
        <f t="shared" si="5"/>
        <v>20078.44751826075</v>
      </c>
      <c r="E109" s="77">
        <f t="shared" si="4"/>
        <v>225.74193171088993</v>
      </c>
      <c r="F109" s="10">
        <f t="shared" si="1"/>
        <v>-2358.22</v>
      </c>
      <c r="G109" s="77">
        <f t="shared" si="6"/>
        <v>17945.96944997164</v>
      </c>
      <c r="H109" s="77">
        <f t="shared" si="7"/>
        <v>1864.7398275248922</v>
      </c>
    </row>
    <row r="110" spans="2:8" ht="14.25">
      <c r="B110" s="66">
        <v>42644</v>
      </c>
      <c r="C110" s="10">
        <f t="shared" si="8"/>
        <v>29</v>
      </c>
      <c r="D110" s="21">
        <f t="shared" si="5"/>
        <v>17945.96944997164</v>
      </c>
      <c r="E110" s="77">
        <f t="shared" si="4"/>
        <v>201.76648649636917</v>
      </c>
      <c r="F110" s="10">
        <f t="shared" si="1"/>
        <v>-2358.22</v>
      </c>
      <c r="G110" s="77">
        <f t="shared" si="6"/>
        <v>15789.51593646801</v>
      </c>
      <c r="H110" s="77">
        <f t="shared" si="7"/>
        <v>1844.0076544016606</v>
      </c>
    </row>
    <row r="111" spans="2:8" ht="14.25">
      <c r="B111" s="66">
        <v>42675</v>
      </c>
      <c r="C111" s="10">
        <f t="shared" si="8"/>
        <v>30</v>
      </c>
      <c r="D111" s="21">
        <f t="shared" si="5"/>
        <v>15789.51593646801</v>
      </c>
      <c r="E111" s="77">
        <f t="shared" si="4"/>
        <v>177.52148541546822</v>
      </c>
      <c r="F111" s="10">
        <f t="shared" si="1"/>
        <v>-2358.22</v>
      </c>
      <c r="G111" s="77">
        <f t="shared" si="6"/>
        <v>13608.817421883477</v>
      </c>
      <c r="H111" s="77">
        <f t="shared" si="7"/>
        <v>1823.5059815316374</v>
      </c>
    </row>
    <row r="112" spans="2:8" ht="14.25">
      <c r="B112" s="66">
        <v>42705</v>
      </c>
      <c r="C112" s="10">
        <f t="shared" si="8"/>
        <v>31</v>
      </c>
      <c r="D112" s="21">
        <f t="shared" si="5"/>
        <v>13608.817421883477</v>
      </c>
      <c r="E112" s="77">
        <f t="shared" si="4"/>
        <v>153.00389785230274</v>
      </c>
      <c r="F112" s="10">
        <f t="shared" si="1"/>
        <v>-2358.22</v>
      </c>
      <c r="G112" s="77">
        <f t="shared" si="6"/>
        <v>11403.60131973578</v>
      </c>
      <c r="H112" s="77">
        <f t="shared" si="7"/>
        <v>1803.2322462135355</v>
      </c>
    </row>
    <row r="113" spans="2:8" ht="14.25">
      <c r="B113" s="66">
        <v>42736</v>
      </c>
      <c r="C113" s="10">
        <f t="shared" si="8"/>
        <v>32</v>
      </c>
      <c r="D113" s="21">
        <f t="shared" si="5"/>
        <v>11403.60131973578</v>
      </c>
      <c r="E113" s="77">
        <f t="shared" si="4"/>
        <v>128.2106591177822</v>
      </c>
      <c r="F113" s="10">
        <f t="shared" si="1"/>
        <v>-2358.22</v>
      </c>
      <c r="G113" s="77">
        <f t="shared" si="6"/>
        <v>9173.591978853563</v>
      </c>
      <c r="H113" s="77">
        <f t="shared" si="7"/>
        <v>1783.1839142381766</v>
      </c>
    </row>
    <row r="114" spans="2:8" ht="14.25">
      <c r="B114" s="66">
        <v>42767</v>
      </c>
      <c r="C114" s="10">
        <f t="shared" si="8"/>
        <v>33</v>
      </c>
      <c r="D114" s="21">
        <f t="shared" si="5"/>
        <v>9173.591978853563</v>
      </c>
      <c r="E114" s="77">
        <f t="shared" si="4"/>
        <v>103.13867006652478</v>
      </c>
      <c r="F114" s="10">
        <f t="shared" si="1"/>
        <v>-2358.22</v>
      </c>
      <c r="G114" s="77">
        <f t="shared" si="6"/>
        <v>6918.510648920088</v>
      </c>
      <c r="H114" s="77">
        <f t="shared" si="7"/>
        <v>1763.358479571713</v>
      </c>
    </row>
    <row r="115" spans="2:8" ht="14.25">
      <c r="B115" s="66">
        <v>42795</v>
      </c>
      <c r="C115" s="10">
        <f t="shared" si="8"/>
        <v>34</v>
      </c>
      <c r="D115" s="21">
        <f t="shared" si="5"/>
        <v>6918.510648920088</v>
      </c>
      <c r="E115" s="77">
        <f t="shared" si="4"/>
        <v>77.78479670946544</v>
      </c>
      <c r="F115" s="10">
        <f t="shared" si="1"/>
        <v>-2358.22</v>
      </c>
      <c r="G115" s="77">
        <f t="shared" si="6"/>
        <v>4638.075445629554</v>
      </c>
      <c r="H115" s="77">
        <f t="shared" si="7"/>
        <v>1743.753464042376</v>
      </c>
    </row>
    <row r="116" spans="2:8" ht="14.25">
      <c r="B116" s="66">
        <v>42826</v>
      </c>
      <c r="C116" s="10">
        <f t="shared" si="8"/>
        <v>35</v>
      </c>
      <c r="D116" s="21">
        <f t="shared" si="5"/>
        <v>4638.075445629554</v>
      </c>
      <c r="E116" s="77">
        <f t="shared" si="4"/>
        <v>52.14586982210849</v>
      </c>
      <c r="F116" s="10">
        <f t="shared" si="1"/>
        <v>-2358.22</v>
      </c>
      <c r="G116" s="77">
        <f t="shared" si="6"/>
        <v>2332.0013154516632</v>
      </c>
      <c r="H116" s="77">
        <f t="shared" si="7"/>
        <v>1724.3664170307045</v>
      </c>
    </row>
    <row r="117" spans="2:8" ht="14.25">
      <c r="B117" s="66">
        <v>42856</v>
      </c>
      <c r="C117" s="10">
        <f t="shared" si="8"/>
        <v>36</v>
      </c>
      <c r="D117" s="21">
        <f t="shared" si="5"/>
        <v>2332.0013154516632</v>
      </c>
      <c r="E117" s="77">
        <f t="shared" si="4"/>
        <v>26.218684548375666</v>
      </c>
      <c r="F117" s="10">
        <f t="shared" si="1"/>
        <v>-2358.22</v>
      </c>
      <c r="G117" s="77">
        <f t="shared" si="6"/>
        <v>3.9108272176235914E-11</v>
      </c>
      <c r="H117" s="77">
        <f t="shared" si="7"/>
        <v>1705.19491516322</v>
      </c>
    </row>
    <row r="118" spans="2:8" ht="14.25">
      <c r="B118" s="66" t="s">
        <v>67</v>
      </c>
      <c r="G118" s="77"/>
      <c r="H118" s="25">
        <f>SUM(H89:H117)</f>
        <v>58082.82845207232</v>
      </c>
    </row>
    <row r="119" spans="2:3" ht="14.25">
      <c r="B119" s="10" t="s">
        <v>93</v>
      </c>
      <c r="C119" s="21">
        <f>+G88</f>
        <v>58082.82845207238</v>
      </c>
    </row>
    <row r="120" spans="2:3" ht="14.25">
      <c r="B120" s="10" t="s">
        <v>94</v>
      </c>
      <c r="C120" s="21">
        <f>+C26</f>
        <v>62065</v>
      </c>
    </row>
    <row r="121" spans="2:3" ht="14.25">
      <c r="B121" s="10" t="s">
        <v>154</v>
      </c>
      <c r="C121" s="21">
        <f>+C119-C120</f>
        <v>-3982.171547927617</v>
      </c>
    </row>
    <row r="123" ht="14.25">
      <c r="B123" s="9" t="s">
        <v>223</v>
      </c>
    </row>
    <row r="125" spans="2:3" ht="14.25">
      <c r="B125" s="10" t="s">
        <v>799</v>
      </c>
      <c r="C125" s="19">
        <f>+D127-C126</f>
        <v>1417.1715479276172</v>
      </c>
    </row>
    <row r="126" spans="2:3" ht="14.25">
      <c r="B126" s="10" t="s">
        <v>798</v>
      </c>
      <c r="C126" s="19">
        <f>+C25</f>
        <v>2565</v>
      </c>
    </row>
    <row r="127" spans="2:4" ht="14.25">
      <c r="B127" s="10" t="s">
        <v>392</v>
      </c>
      <c r="D127" s="19">
        <f>-C121</f>
        <v>3982.171547927617</v>
      </c>
    </row>
    <row r="128" spans="2:4" ht="15" thickBot="1">
      <c r="B128" s="9" t="s">
        <v>226</v>
      </c>
      <c r="C128" s="31">
        <f>SUM(C125:C127)</f>
        <v>3982.171547927617</v>
      </c>
      <c r="D128" s="31">
        <f>SUM(D125:D127)</f>
        <v>3982.171547927617</v>
      </c>
    </row>
    <row r="129" ht="1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3.7109375" style="10" customWidth="1"/>
    <col min="2" max="2" width="31.57421875" style="10" customWidth="1"/>
    <col min="3" max="16384" width="11.57421875" style="10" customWidth="1"/>
  </cols>
  <sheetData>
    <row r="2" spans="2:11" ht="14.25">
      <c r="B2" s="25" t="s">
        <v>800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4.25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ht="14.25">
      <c r="B4" s="25" t="s">
        <v>82</v>
      </c>
      <c r="C4" s="77" t="s">
        <v>83</v>
      </c>
      <c r="D4" s="77"/>
      <c r="E4" s="77"/>
      <c r="F4" s="77"/>
      <c r="G4" s="77"/>
      <c r="H4" s="77"/>
      <c r="I4" s="77"/>
      <c r="J4" s="77"/>
      <c r="K4" s="77"/>
    </row>
    <row r="5" spans="2:11" ht="14.25"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2:11" ht="14.25">
      <c r="B6" s="25" t="s">
        <v>428</v>
      </c>
      <c r="C6" s="77" t="s">
        <v>801</v>
      </c>
      <c r="D6" s="77"/>
      <c r="E6" s="77"/>
      <c r="F6" s="77"/>
      <c r="G6" s="77"/>
      <c r="H6" s="77"/>
      <c r="I6" s="77"/>
      <c r="J6" s="77"/>
      <c r="K6" s="77"/>
    </row>
    <row r="7" spans="2:11" ht="14.25"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2:11" ht="14.25">
      <c r="B8" s="25" t="s">
        <v>438</v>
      </c>
      <c r="C8" s="77" t="s">
        <v>802</v>
      </c>
      <c r="D8" s="77"/>
      <c r="E8" s="77"/>
      <c r="F8" s="77"/>
      <c r="G8" s="77"/>
      <c r="H8" s="77"/>
      <c r="I8" s="77"/>
      <c r="J8" s="77"/>
      <c r="K8" s="77"/>
    </row>
    <row r="9" spans="2:11" ht="14.25">
      <c r="B9" s="25"/>
      <c r="C9" s="77" t="s">
        <v>67</v>
      </c>
      <c r="D9" s="77"/>
      <c r="E9" s="77"/>
      <c r="F9" s="77"/>
      <c r="G9" s="77"/>
      <c r="H9" s="77"/>
      <c r="I9" s="77"/>
      <c r="J9" s="77"/>
      <c r="K9" s="77"/>
    </row>
    <row r="10" spans="2:11" ht="14.25">
      <c r="B10" s="25" t="s">
        <v>85</v>
      </c>
      <c r="C10" s="77" t="s">
        <v>803</v>
      </c>
      <c r="D10" s="77"/>
      <c r="E10" s="77"/>
      <c r="F10" s="77"/>
      <c r="G10" s="77"/>
      <c r="H10" s="77"/>
      <c r="I10" s="77"/>
      <c r="J10" s="77"/>
      <c r="K10" s="77"/>
    </row>
    <row r="11" spans="2:11" ht="14.25">
      <c r="B11" s="77"/>
      <c r="C11" s="77" t="s">
        <v>804</v>
      </c>
      <c r="D11" s="77"/>
      <c r="E11" s="77"/>
      <c r="F11" s="77"/>
      <c r="G11" s="77"/>
      <c r="H11" s="77"/>
      <c r="I11" s="77"/>
      <c r="J11" s="77"/>
      <c r="K11" s="77"/>
    </row>
    <row r="12" spans="2:11" ht="14.25">
      <c r="B12" s="77"/>
      <c r="C12" s="77" t="s">
        <v>805</v>
      </c>
      <c r="D12" s="77"/>
      <c r="E12" s="77"/>
      <c r="F12" s="77"/>
      <c r="G12" s="77"/>
      <c r="H12" s="77"/>
      <c r="I12" s="77"/>
      <c r="J12" s="77"/>
      <c r="K12" s="77"/>
    </row>
    <row r="14" ht="14.25">
      <c r="B14" s="9" t="s">
        <v>806</v>
      </c>
    </row>
    <row r="15" ht="14.25">
      <c r="B15" s="9"/>
    </row>
    <row r="16" spans="2:4" ht="14.25">
      <c r="B16" s="10" t="s">
        <v>807</v>
      </c>
      <c r="D16" s="77">
        <v>6200</v>
      </c>
    </row>
    <row r="17" spans="2:5" ht="14.25">
      <c r="B17" s="10" t="s">
        <v>808</v>
      </c>
      <c r="D17" s="10">
        <v>2</v>
      </c>
      <c r="E17" s="10" t="s">
        <v>145</v>
      </c>
    </row>
    <row r="18" spans="2:4" ht="14.25">
      <c r="B18" s="10" t="s">
        <v>393</v>
      </c>
      <c r="D18" s="27">
        <v>0.05</v>
      </c>
    </row>
    <row r="20" ht="14.25">
      <c r="B20" s="9" t="s">
        <v>809</v>
      </c>
    </row>
    <row r="22" spans="2:4" ht="14.25">
      <c r="B22" s="10" t="s">
        <v>807</v>
      </c>
      <c r="D22" s="77">
        <f>+D16</f>
        <v>6200</v>
      </c>
    </row>
    <row r="23" spans="2:4" ht="14.25">
      <c r="B23" s="10" t="s">
        <v>811</v>
      </c>
      <c r="D23" s="68">
        <f>+D18</f>
        <v>0.05</v>
      </c>
    </row>
    <row r="24" spans="2:8" ht="14.25">
      <c r="B24" s="10" t="s">
        <v>812</v>
      </c>
      <c r="D24" s="77">
        <f>+D17</f>
        <v>2</v>
      </c>
      <c r="G24" s="10" t="s">
        <v>67</v>
      </c>
      <c r="H24" s="10" t="s">
        <v>67</v>
      </c>
    </row>
    <row r="25" spans="2:8" ht="14.25">
      <c r="B25" s="10" t="s">
        <v>810</v>
      </c>
      <c r="D25" s="67">
        <f>+D22*(1+D23)^D24</f>
        <v>6835.5</v>
      </c>
      <c r="G25" s="10" t="s">
        <v>67</v>
      </c>
      <c r="H25" s="10" t="s">
        <v>67</v>
      </c>
    </row>
    <row r="26" ht="14.25">
      <c r="D26" s="67"/>
    </row>
    <row r="27" spans="2:4" ht="14.25">
      <c r="B27" s="9" t="s">
        <v>813</v>
      </c>
      <c r="D27" s="67"/>
    </row>
    <row r="28" ht="14.25">
      <c r="D28" s="67"/>
    </row>
    <row r="29" spans="2:4" ht="14.25">
      <c r="B29" s="10" t="s">
        <v>814</v>
      </c>
      <c r="D29" s="67">
        <f>+D25</f>
        <v>6835.5</v>
      </c>
    </row>
    <row r="30" spans="2:4" ht="14.25">
      <c r="B30" s="10" t="s">
        <v>394</v>
      </c>
      <c r="D30" s="10">
        <v>30</v>
      </c>
    </row>
    <row r="31" spans="2:4" ht="14.25">
      <c r="B31" s="10" t="s">
        <v>815</v>
      </c>
      <c r="D31" s="67">
        <f>+D25</f>
        <v>6835.5</v>
      </c>
    </row>
    <row r="32" ht="14.25">
      <c r="D32" s="67"/>
    </row>
    <row r="33" spans="2:4" ht="14.25">
      <c r="B33" s="9" t="s">
        <v>816</v>
      </c>
      <c r="D33" s="67"/>
    </row>
    <row r="34" ht="14.25">
      <c r="D34" s="67"/>
    </row>
    <row r="35" spans="2:4" ht="14.25">
      <c r="B35" s="10" t="s">
        <v>815</v>
      </c>
      <c r="D35" s="67">
        <f>+D31</f>
        <v>6835.5</v>
      </c>
    </row>
    <row r="36" spans="2:7" ht="14.25">
      <c r="B36" s="10" t="s">
        <v>395</v>
      </c>
      <c r="D36" s="38">
        <v>0.072</v>
      </c>
      <c r="E36" s="10" t="s">
        <v>396</v>
      </c>
      <c r="G36" s="10" t="s">
        <v>67</v>
      </c>
    </row>
    <row r="37" spans="2:4" ht="14.25">
      <c r="B37" s="10" t="s">
        <v>120</v>
      </c>
      <c r="D37" s="67">
        <f>PV(D36,D17,,-D31)</f>
        <v>5948.133632212073</v>
      </c>
    </row>
    <row r="38" ht="14.25">
      <c r="D38" s="67"/>
    </row>
    <row r="39" spans="2:4" ht="14.25">
      <c r="B39" s="9" t="s">
        <v>817</v>
      </c>
      <c r="D39" s="67"/>
    </row>
    <row r="40" ht="14.25">
      <c r="D40" s="67"/>
    </row>
    <row r="41" spans="2:5" ht="14.25">
      <c r="B41" s="10" t="s">
        <v>818</v>
      </c>
      <c r="D41" s="67">
        <f>+D37</f>
        <v>5948.133632212073</v>
      </c>
      <c r="E41" s="21" t="s">
        <v>67</v>
      </c>
    </row>
    <row r="42" spans="2:6" ht="14.25">
      <c r="B42" s="10" t="s">
        <v>819</v>
      </c>
      <c r="D42" s="77">
        <v>5</v>
      </c>
      <c r="F42" s="69" t="s">
        <v>67</v>
      </c>
    </row>
    <row r="43" spans="2:5" ht="14.25">
      <c r="B43" s="10" t="s">
        <v>820</v>
      </c>
      <c r="D43" s="77">
        <v>3</v>
      </c>
      <c r="E43" s="10" t="s">
        <v>67</v>
      </c>
    </row>
    <row r="44" spans="2:4" ht="14.25">
      <c r="B44" s="10" t="s">
        <v>821</v>
      </c>
      <c r="D44" s="77">
        <f>+D41/D42*D43</f>
        <v>3568.8801793272437</v>
      </c>
    </row>
    <row r="46" ht="14.25">
      <c r="B46" s="9" t="s">
        <v>822</v>
      </c>
    </row>
    <row r="48" spans="2:6" ht="14.25">
      <c r="B48" s="10" t="s">
        <v>823</v>
      </c>
      <c r="D48" s="77">
        <f>+D44</f>
        <v>3568.8801793272437</v>
      </c>
      <c r="E48" s="77"/>
      <c r="F48" s="77"/>
    </row>
    <row r="49" spans="2:6" ht="14.25">
      <c r="B49" s="10" t="s">
        <v>824</v>
      </c>
      <c r="D49" s="77"/>
      <c r="E49" s="77">
        <f>+D48</f>
        <v>3568.8801793272437</v>
      </c>
      <c r="F49" s="77"/>
    </row>
    <row r="50" spans="4:6" ht="14.25">
      <c r="D50" s="43"/>
      <c r="E50" s="43"/>
      <c r="F50" s="77"/>
    </row>
    <row r="51" spans="4:6" ht="15" thickBot="1">
      <c r="D51" s="20">
        <f>+D48</f>
        <v>3568.8801793272437</v>
      </c>
      <c r="E51" s="20">
        <f>+E49</f>
        <v>3568.8801793272437</v>
      </c>
      <c r="F51" s="77"/>
    </row>
    <row r="52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3.57421875" style="10" customWidth="1"/>
    <col min="2" max="2" width="29.57421875" style="10" customWidth="1"/>
    <col min="3" max="16384" width="11.57421875" style="10" customWidth="1"/>
  </cols>
  <sheetData>
    <row r="2" spans="2:10" ht="14.25">
      <c r="B2" s="25" t="s">
        <v>397</v>
      </c>
      <c r="C2" s="77"/>
      <c r="D2" s="77"/>
      <c r="E2" s="77"/>
      <c r="F2" s="77"/>
      <c r="G2" s="77"/>
      <c r="H2" s="77"/>
      <c r="I2" s="77"/>
      <c r="J2" s="77"/>
    </row>
    <row r="3" spans="2:10" ht="14.25">
      <c r="B3" s="77"/>
      <c r="C3" s="77"/>
      <c r="D3" s="77"/>
      <c r="E3" s="77"/>
      <c r="F3" s="77"/>
      <c r="G3" s="77"/>
      <c r="H3" s="77"/>
      <c r="I3" s="77"/>
      <c r="J3" s="77"/>
    </row>
    <row r="4" spans="2:10" ht="14.25">
      <c r="B4" s="25" t="s">
        <v>82</v>
      </c>
      <c r="C4" s="77" t="s">
        <v>828</v>
      </c>
      <c r="D4" s="77"/>
      <c r="E4" s="77"/>
      <c r="F4" s="77"/>
      <c r="G4" s="77"/>
      <c r="H4" s="77"/>
      <c r="I4" s="77"/>
      <c r="J4" s="77"/>
    </row>
    <row r="5" spans="2:10" ht="14.25">
      <c r="B5" s="77"/>
      <c r="C5" s="77"/>
      <c r="D5" s="77"/>
      <c r="E5" s="77"/>
      <c r="F5" s="77"/>
      <c r="G5" s="77"/>
      <c r="H5" s="77"/>
      <c r="I5" s="77"/>
      <c r="J5" s="77"/>
    </row>
    <row r="6" spans="2:10" ht="14.25">
      <c r="B6" s="25" t="s">
        <v>428</v>
      </c>
      <c r="C6" s="77" t="s">
        <v>827</v>
      </c>
      <c r="D6" s="77"/>
      <c r="E6" s="77"/>
      <c r="F6" s="77"/>
      <c r="G6" s="77"/>
      <c r="H6" s="77"/>
      <c r="I6" s="77"/>
      <c r="J6" s="77"/>
    </row>
    <row r="7" spans="2:10" ht="14.25">
      <c r="B7" s="77"/>
      <c r="C7" s="77"/>
      <c r="D7" s="77"/>
      <c r="E7" s="77"/>
      <c r="F7" s="77"/>
      <c r="G7" s="77"/>
      <c r="H7" s="77"/>
      <c r="I7" s="77"/>
      <c r="J7" s="77"/>
    </row>
    <row r="8" spans="2:10" ht="14.25">
      <c r="B8" s="25" t="s">
        <v>438</v>
      </c>
      <c r="C8" s="77" t="s">
        <v>829</v>
      </c>
      <c r="D8" s="77"/>
      <c r="E8" s="77"/>
      <c r="F8" s="77"/>
      <c r="G8" s="77"/>
      <c r="H8" s="77"/>
      <c r="I8" s="77"/>
      <c r="J8" s="77"/>
    </row>
    <row r="9" spans="2:10" ht="14.25">
      <c r="B9" s="25"/>
      <c r="C9" s="77" t="s">
        <v>830</v>
      </c>
      <c r="D9" s="77"/>
      <c r="E9" s="77"/>
      <c r="F9" s="77"/>
      <c r="G9" s="77"/>
      <c r="H9" s="77"/>
      <c r="I9" s="77"/>
      <c r="J9" s="77"/>
    </row>
    <row r="10" spans="2:10" ht="14.25">
      <c r="B10" s="25"/>
      <c r="C10" s="77" t="s">
        <v>831</v>
      </c>
      <c r="D10" s="77"/>
      <c r="E10" s="77"/>
      <c r="F10" s="77"/>
      <c r="G10" s="77"/>
      <c r="H10" s="77"/>
      <c r="I10" s="77"/>
      <c r="J10" s="77"/>
    </row>
    <row r="11" spans="2:10" ht="14.25">
      <c r="B11" s="25"/>
      <c r="C11" s="10" t="s">
        <v>398</v>
      </c>
      <c r="D11" s="77"/>
      <c r="E11" s="77"/>
      <c r="F11" s="77"/>
      <c r="G11" s="77"/>
      <c r="H11" s="77"/>
      <c r="I11" s="77"/>
      <c r="J11" s="77"/>
    </row>
    <row r="12" spans="2:10" ht="14.25">
      <c r="B12" s="25"/>
      <c r="D12" s="77"/>
      <c r="E12" s="77"/>
      <c r="F12" s="77"/>
      <c r="G12" s="77"/>
      <c r="H12" s="77"/>
      <c r="I12" s="77"/>
      <c r="J12" s="77"/>
    </row>
    <row r="13" spans="2:10" ht="14.25">
      <c r="B13" s="25" t="s">
        <v>85</v>
      </c>
      <c r="C13" s="77" t="s">
        <v>832</v>
      </c>
      <c r="D13" s="77"/>
      <c r="E13" s="77"/>
      <c r="F13" s="77"/>
      <c r="G13" s="77"/>
      <c r="H13" s="77"/>
      <c r="I13" s="77"/>
      <c r="J13" s="77"/>
    </row>
    <row r="14" spans="2:10" ht="14.25">
      <c r="B14" s="77"/>
      <c r="C14" s="77" t="s">
        <v>833</v>
      </c>
      <c r="D14" s="77"/>
      <c r="E14" s="77"/>
      <c r="F14" s="77"/>
      <c r="G14" s="77"/>
      <c r="H14" s="77"/>
      <c r="I14" s="77"/>
      <c r="J14" s="77"/>
    </row>
    <row r="15" ht="14.25">
      <c r="B15" s="9" t="s">
        <v>399</v>
      </c>
    </row>
    <row r="17" ht="14.25">
      <c r="B17" s="13" t="s">
        <v>62</v>
      </c>
    </row>
    <row r="18" spans="2:5" ht="14.25">
      <c r="B18" s="13" t="s">
        <v>63</v>
      </c>
      <c r="C18" s="18">
        <v>8000</v>
      </c>
      <c r="D18" s="10" t="s">
        <v>67</v>
      </c>
      <c r="E18" s="19" t="s">
        <v>67</v>
      </c>
    </row>
    <row r="19" spans="2:3" ht="14.25">
      <c r="B19" s="13" t="s">
        <v>64</v>
      </c>
      <c r="C19" s="18">
        <v>14000</v>
      </c>
    </row>
    <row r="20" spans="2:3" ht="14.25">
      <c r="B20" s="13" t="s">
        <v>162</v>
      </c>
      <c r="C20" s="19">
        <f>+C18+C19</f>
        <v>22000</v>
      </c>
    </row>
    <row r="22" ht="14.25">
      <c r="B22" s="16" t="s">
        <v>400</v>
      </c>
    </row>
    <row r="25" ht="14.25">
      <c r="B25" s="9" t="s">
        <v>223</v>
      </c>
    </row>
    <row r="26" spans="3:6" ht="14.25">
      <c r="C26" s="77"/>
      <c r="D26" s="77"/>
      <c r="E26" s="77"/>
      <c r="F26" s="77"/>
    </row>
    <row r="27" spans="2:6" ht="14.25">
      <c r="B27" s="10" t="s">
        <v>401</v>
      </c>
      <c r="C27" s="77">
        <v>6700</v>
      </c>
      <c r="D27" s="77"/>
      <c r="E27" s="77"/>
      <c r="F27" s="77"/>
    </row>
    <row r="28" spans="2:6" ht="14.25">
      <c r="B28" s="10" t="s">
        <v>402</v>
      </c>
      <c r="C28" s="77"/>
      <c r="D28" s="77">
        <f>+C27</f>
        <v>6700</v>
      </c>
      <c r="E28" s="77"/>
      <c r="F28" s="77"/>
    </row>
    <row r="29" spans="3:6" ht="14.25">
      <c r="C29" s="77"/>
      <c r="D29" s="77"/>
      <c r="E29" s="77"/>
      <c r="F29" s="77"/>
    </row>
    <row r="30" spans="2:6" ht="15" thickBot="1">
      <c r="B30" s="9" t="s">
        <v>226</v>
      </c>
      <c r="C30" s="20">
        <f>SUM(C25:C29)</f>
        <v>6700</v>
      </c>
      <c r="D30" s="20">
        <f>SUM(D25:D29)</f>
        <v>6700</v>
      </c>
      <c r="E30" s="77"/>
      <c r="F30" s="77"/>
    </row>
    <row r="31" spans="3:6" ht="15" thickTop="1">
      <c r="C31" s="77"/>
      <c r="D31" s="77"/>
      <c r="E31" s="77"/>
      <c r="F31" s="77"/>
    </row>
    <row r="32" spans="3:6" ht="14.25">
      <c r="C32" s="77"/>
      <c r="D32" s="77"/>
      <c r="E32" s="77"/>
      <c r="F32" s="77"/>
    </row>
    <row r="33" spans="2:6" ht="14.25">
      <c r="B33" s="9" t="s">
        <v>403</v>
      </c>
      <c r="C33" s="77"/>
      <c r="D33" s="77"/>
      <c r="E33" s="77"/>
      <c r="F33" s="77"/>
    </row>
    <row r="34" spans="3:6" ht="14.25">
      <c r="C34" s="77"/>
      <c r="D34" s="77"/>
      <c r="E34" s="77"/>
      <c r="F34" s="77"/>
    </row>
    <row r="35" spans="2:6" ht="14.25">
      <c r="B35" s="9" t="s">
        <v>223</v>
      </c>
      <c r="C35" s="77"/>
      <c r="D35" s="77"/>
      <c r="E35" s="77"/>
      <c r="F35" s="77"/>
    </row>
    <row r="36" spans="3:6" ht="14.25">
      <c r="C36" s="77"/>
      <c r="D36" s="77"/>
      <c r="E36" s="77"/>
      <c r="F36" s="77"/>
    </row>
    <row r="37" spans="2:6" ht="14.25">
      <c r="B37" s="10" t="s">
        <v>401</v>
      </c>
      <c r="C37" s="77">
        <v>1300</v>
      </c>
      <c r="D37" s="77"/>
      <c r="E37" s="77"/>
      <c r="F37" s="77"/>
    </row>
    <row r="38" spans="2:6" ht="14.25">
      <c r="B38" s="10" t="s">
        <v>99</v>
      </c>
      <c r="C38" s="77"/>
      <c r="D38" s="77">
        <f>+C37</f>
        <v>1300</v>
      </c>
      <c r="E38" s="77"/>
      <c r="F38" s="77"/>
    </row>
    <row r="39" spans="3:6" ht="14.25">
      <c r="C39" s="77"/>
      <c r="D39" s="77"/>
      <c r="E39" s="77"/>
      <c r="F39" s="77"/>
    </row>
    <row r="40" spans="2:6" ht="15" thickBot="1">
      <c r="B40" s="9" t="s">
        <v>226</v>
      </c>
      <c r="C40" s="20">
        <f>SUM(C35:C39)</f>
        <v>1300</v>
      </c>
      <c r="D40" s="20">
        <f>SUM(D35:D39)</f>
        <v>1300</v>
      </c>
      <c r="E40" s="77"/>
      <c r="F40" s="77"/>
    </row>
    <row r="41" spans="3:6" ht="15" thickTop="1">
      <c r="C41" s="77"/>
      <c r="D41" s="77"/>
      <c r="E41" s="77"/>
      <c r="F41" s="77"/>
    </row>
    <row r="42" spans="3:6" ht="14.25">
      <c r="C42" s="77"/>
      <c r="D42" s="77"/>
      <c r="E42" s="77"/>
      <c r="F42" s="77"/>
    </row>
    <row r="43" spans="2:6" ht="14.25">
      <c r="B43" s="9" t="s">
        <v>834</v>
      </c>
      <c r="C43" s="77"/>
      <c r="D43" s="77"/>
      <c r="E43" s="77"/>
      <c r="F43" s="77"/>
    </row>
    <row r="44" spans="3:6" ht="14.25">
      <c r="C44" s="77"/>
      <c r="D44" s="77"/>
      <c r="E44" s="77"/>
      <c r="F44" s="77"/>
    </row>
    <row r="46" spans="2:3" ht="14.25">
      <c r="B46" s="10" t="s">
        <v>835</v>
      </c>
      <c r="C46" s="19">
        <f>+C19</f>
        <v>14000</v>
      </c>
    </row>
    <row r="47" spans="2:4" ht="14.25">
      <c r="B47" s="10" t="s">
        <v>836</v>
      </c>
      <c r="D47" s="19">
        <f>+C46</f>
        <v>14000</v>
      </c>
    </row>
    <row r="48" spans="2:4" ht="15" thickBot="1">
      <c r="B48" s="9" t="s">
        <v>226</v>
      </c>
      <c r="C48" s="20">
        <f>SUM(C43:C47)</f>
        <v>14000</v>
      </c>
      <c r="D48" s="20">
        <f>SUM(D43:D47)</f>
        <v>14000</v>
      </c>
    </row>
    <row r="49" ht="15" thickTop="1"/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D46"/>
  <sheetViews>
    <sheetView zoomScalePageLayoutView="0" workbookViewId="0" topLeftCell="A1">
      <selection activeCell="B3" sqref="B3:B4"/>
    </sheetView>
  </sheetViews>
  <sheetFormatPr defaultColWidth="11.421875" defaultRowHeight="15"/>
  <cols>
    <col min="1" max="1" width="3.140625" style="10" customWidth="1"/>
    <col min="2" max="2" width="30.421875" style="10" customWidth="1"/>
    <col min="3" max="3" width="11.57421875" style="10" customWidth="1"/>
    <col min="4" max="4" width="13.8515625" style="10" customWidth="1"/>
    <col min="5" max="16384" width="11.57421875" style="10" customWidth="1"/>
  </cols>
  <sheetData>
    <row r="2" spans="2:3" s="77" customFormat="1" ht="14.25">
      <c r="B2" s="9" t="s">
        <v>841</v>
      </c>
      <c r="C2" s="10"/>
    </row>
    <row r="3" spans="2:3" s="77" customFormat="1" ht="14.25">
      <c r="B3" s="10"/>
      <c r="C3" s="10"/>
    </row>
    <row r="4" spans="2:3" s="77" customFormat="1" ht="14.25">
      <c r="B4" s="9" t="s">
        <v>82</v>
      </c>
      <c r="C4" s="10" t="s">
        <v>83</v>
      </c>
    </row>
    <row r="5" spans="2:3" s="77" customFormat="1" ht="14.25">
      <c r="B5" s="10"/>
      <c r="C5" s="10" t="s">
        <v>67</v>
      </c>
    </row>
    <row r="6" spans="2:3" s="77" customFormat="1" ht="14.25">
      <c r="B6" s="25" t="s">
        <v>428</v>
      </c>
      <c r="C6" s="77" t="s">
        <v>464</v>
      </c>
    </row>
    <row r="7" spans="2:3" s="77" customFormat="1" ht="14.25">
      <c r="B7" s="10"/>
      <c r="C7" s="10"/>
    </row>
    <row r="8" spans="2:3" s="77" customFormat="1" ht="14.25">
      <c r="B8" s="9" t="s">
        <v>85</v>
      </c>
      <c r="C8" s="10" t="s">
        <v>381</v>
      </c>
    </row>
    <row r="9" ht="14.25">
      <c r="C9" s="10" t="s">
        <v>382</v>
      </c>
    </row>
    <row r="10" ht="14.25">
      <c r="C10" s="10" t="s">
        <v>383</v>
      </c>
    </row>
    <row r="12" ht="14.25">
      <c r="B12" s="9" t="s">
        <v>806</v>
      </c>
    </row>
    <row r="13" ht="14.25">
      <c r="B13" s="9"/>
    </row>
    <row r="14" spans="2:3" ht="14.25">
      <c r="B14" s="10" t="s">
        <v>387</v>
      </c>
      <c r="C14" s="19">
        <f>+'[1]Bce local'!C79</f>
        <v>4000</v>
      </c>
    </row>
    <row r="15" spans="2:4" ht="14.25">
      <c r="B15" s="10" t="s">
        <v>153</v>
      </c>
      <c r="C15" s="10" t="s">
        <v>143</v>
      </c>
      <c r="D15" s="10">
        <f>+C14/C16</f>
        <v>400</v>
      </c>
    </row>
    <row r="16" spans="2:4" ht="14.25">
      <c r="B16" s="10" t="s">
        <v>107</v>
      </c>
      <c r="C16" s="10">
        <v>10</v>
      </c>
      <c r="D16" s="10" t="s">
        <v>145</v>
      </c>
    </row>
    <row r="17" spans="2:3" ht="14.25">
      <c r="B17" s="10" t="s">
        <v>160</v>
      </c>
      <c r="C17" s="27">
        <v>0</v>
      </c>
    </row>
    <row r="18" spans="2:4" ht="14.25">
      <c r="B18" s="10" t="s">
        <v>384</v>
      </c>
      <c r="C18" s="27">
        <v>0.18</v>
      </c>
      <c r="D18" s="10" t="s">
        <v>385</v>
      </c>
    </row>
    <row r="19" spans="3:4" ht="14.25">
      <c r="C19" s="75">
        <f>+(1+C18)^(1/12)-1</f>
        <v>0.01388843034840992</v>
      </c>
      <c r="D19" s="10" t="s">
        <v>379</v>
      </c>
    </row>
    <row r="20" ht="14.25">
      <c r="C20" s="75"/>
    </row>
    <row r="21" ht="14.25">
      <c r="B21" s="9" t="s">
        <v>842</v>
      </c>
    </row>
    <row r="22" ht="14.25">
      <c r="B22" s="9"/>
    </row>
    <row r="23" spans="2:4" ht="14.25">
      <c r="B23" s="12" t="s">
        <v>843</v>
      </c>
      <c r="C23" s="56" t="s">
        <v>150</v>
      </c>
      <c r="D23" s="12" t="s">
        <v>120</v>
      </c>
    </row>
    <row r="24" spans="2:4" ht="14.25">
      <c r="B24" s="10">
        <v>6</v>
      </c>
      <c r="C24" s="10">
        <f>+D15</f>
        <v>400</v>
      </c>
      <c r="D24" s="77">
        <f>+C24/(1+$C$19)^B24</f>
        <v>368.2298471593296</v>
      </c>
    </row>
    <row r="25" spans="2:4" ht="14.25">
      <c r="B25" s="10">
        <f aca="true" t="shared" si="0" ref="B25:B33">+B24+12</f>
        <v>18</v>
      </c>
      <c r="C25" s="10">
        <f>+C24</f>
        <v>400</v>
      </c>
      <c r="D25" s="77">
        <f>+C25/(1+$C$19)^B25</f>
        <v>312.05919250790697</v>
      </c>
    </row>
    <row r="26" spans="2:4" ht="14.25">
      <c r="B26" s="10">
        <f t="shared" si="0"/>
        <v>30</v>
      </c>
      <c r="C26" s="10">
        <f aca="true" t="shared" si="1" ref="C26:C33">+C25</f>
        <v>400</v>
      </c>
      <c r="D26" s="77">
        <f>+C26/(1+$C$19)^B26</f>
        <v>264.4569428033114</v>
      </c>
    </row>
    <row r="27" spans="2:4" ht="14.25">
      <c r="B27" s="10">
        <f t="shared" si="0"/>
        <v>42</v>
      </c>
      <c r="C27" s="10">
        <f t="shared" si="1"/>
        <v>400</v>
      </c>
      <c r="D27" s="77">
        <f aca="true" t="shared" si="2" ref="D27:D33">+C27/(1+$C$19)^B27</f>
        <v>224.1160532231456</v>
      </c>
    </row>
    <row r="28" spans="2:4" ht="14.25">
      <c r="B28" s="10">
        <f t="shared" si="0"/>
        <v>54</v>
      </c>
      <c r="C28" s="10">
        <f t="shared" si="1"/>
        <v>400</v>
      </c>
      <c r="D28" s="77">
        <f t="shared" si="2"/>
        <v>189.92885866368303</v>
      </c>
    </row>
    <row r="29" spans="2:4" ht="14.25">
      <c r="B29" s="10">
        <f t="shared" si="0"/>
        <v>66</v>
      </c>
      <c r="C29" s="10">
        <f t="shared" si="1"/>
        <v>400</v>
      </c>
      <c r="D29" s="77">
        <f t="shared" si="2"/>
        <v>160.95665988447743</v>
      </c>
    </row>
    <row r="30" spans="2:4" ht="14.25">
      <c r="B30" s="10">
        <f t="shared" si="0"/>
        <v>78</v>
      </c>
      <c r="C30" s="10">
        <f t="shared" si="1"/>
        <v>400</v>
      </c>
      <c r="D30" s="77">
        <f t="shared" si="2"/>
        <v>136.40394905464208</v>
      </c>
    </row>
    <row r="31" spans="2:4" ht="14.25">
      <c r="B31" s="10">
        <f t="shared" si="0"/>
        <v>90</v>
      </c>
      <c r="C31" s="10">
        <f t="shared" si="1"/>
        <v>400</v>
      </c>
      <c r="D31" s="77">
        <f t="shared" si="2"/>
        <v>115.5965669954596</v>
      </c>
    </row>
    <row r="32" spans="2:4" ht="14.25">
      <c r="B32" s="10">
        <f t="shared" si="0"/>
        <v>102</v>
      </c>
      <c r="C32" s="10">
        <f t="shared" si="1"/>
        <v>400</v>
      </c>
      <c r="D32" s="77">
        <f t="shared" si="2"/>
        <v>97.96319236903373</v>
      </c>
    </row>
    <row r="33" spans="2:4" ht="14.25">
      <c r="B33" s="10">
        <f t="shared" si="0"/>
        <v>114</v>
      </c>
      <c r="C33" s="10">
        <f t="shared" si="1"/>
        <v>400</v>
      </c>
      <c r="D33" s="77">
        <f t="shared" si="2"/>
        <v>83.0196545500287</v>
      </c>
    </row>
    <row r="34" spans="3:4" ht="14.25">
      <c r="C34" s="10">
        <f>SUM(C24:C33)</f>
        <v>4000</v>
      </c>
      <c r="D34" s="77">
        <f>SUM(D24:D33)</f>
        <v>1952.730917211018</v>
      </c>
    </row>
    <row r="36" spans="2:3" ht="14.25">
      <c r="B36" s="10" t="s">
        <v>369</v>
      </c>
      <c r="C36" s="21">
        <f>+D34</f>
        <v>1952.730917211018</v>
      </c>
    </row>
    <row r="37" spans="2:3" ht="14.25">
      <c r="B37" s="10" t="s">
        <v>176</v>
      </c>
      <c r="C37" s="10">
        <f>+C34</f>
        <v>4000</v>
      </c>
    </row>
    <row r="38" spans="2:3" ht="14.25">
      <c r="B38" s="10" t="s">
        <v>151</v>
      </c>
      <c r="C38" s="21">
        <f>+C36-C37</f>
        <v>-2047.269082788982</v>
      </c>
    </row>
    <row r="40" ht="14.25">
      <c r="B40" s="9" t="s">
        <v>223</v>
      </c>
    </row>
    <row r="42" spans="2:3" ht="14.25">
      <c r="B42" s="10" t="s">
        <v>386</v>
      </c>
      <c r="C42" s="21">
        <f>-C38</f>
        <v>2047.269082788982</v>
      </c>
    </row>
    <row r="44" spans="2:4" ht="14.25">
      <c r="B44" s="10" t="s">
        <v>99</v>
      </c>
      <c r="D44" s="21">
        <f>+C42</f>
        <v>2047.269082788982</v>
      </c>
    </row>
    <row r="46" spans="2:4" ht="15" thickBot="1">
      <c r="B46" s="9" t="s">
        <v>226</v>
      </c>
      <c r="C46" s="31">
        <f>SUM(C41:C45)</f>
        <v>2047.269082788982</v>
      </c>
      <c r="D46" s="31">
        <f>SUM(D41:D45)</f>
        <v>2047.269082788982</v>
      </c>
    </row>
    <row r="47" ht="1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2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5.140625" style="10" customWidth="1"/>
    <col min="2" max="2" width="54.00390625" style="10" customWidth="1"/>
    <col min="3" max="4" width="12.57421875" style="77" bestFit="1" customWidth="1"/>
    <col min="5" max="16384" width="11.57421875" style="10" customWidth="1"/>
  </cols>
  <sheetData>
    <row r="2" ht="14.25">
      <c r="B2" s="9" t="s">
        <v>81</v>
      </c>
    </row>
    <row r="3" ht="14.25">
      <c r="B3" s="9" t="s">
        <v>435</v>
      </c>
    </row>
    <row r="6" ht="14.25">
      <c r="B6" s="25" t="s">
        <v>431</v>
      </c>
    </row>
    <row r="8" spans="2:3" ht="14.25">
      <c r="B8" s="77" t="s">
        <v>432</v>
      </c>
      <c r="C8" s="77">
        <f>+Disponible!C17</f>
        <v>10304</v>
      </c>
    </row>
    <row r="9" spans="2:4" ht="14.25">
      <c r="B9" s="77" t="s">
        <v>433</v>
      </c>
      <c r="D9" s="77">
        <f>+C8</f>
        <v>10304</v>
      </c>
    </row>
    <row r="10" spans="2:4" ht="15" thickBot="1">
      <c r="B10" s="77"/>
      <c r="C10" s="20">
        <f>SUM(C7:C9)</f>
        <v>10304</v>
      </c>
      <c r="D10" s="20">
        <f>SUM(D7:D9)</f>
        <v>10304</v>
      </c>
    </row>
    <row r="11" spans="2:7" ht="15" thickTop="1">
      <c r="B11" s="77"/>
      <c r="E11" s="77"/>
      <c r="F11" s="77"/>
      <c r="G11" s="77"/>
    </row>
    <row r="12" ht="14.25">
      <c r="B12" s="9" t="str">
        <f>+Disponible!B22</f>
        <v>2. Ajuste para eliminar cheques girados no entregados:</v>
      </c>
    </row>
    <row r="14" spans="2:3" ht="14.25">
      <c r="B14" s="77" t="s">
        <v>432</v>
      </c>
      <c r="C14" s="77">
        <f>+Disponible!C24</f>
        <v>2120</v>
      </c>
    </row>
    <row r="15" spans="2:4" ht="14.25">
      <c r="B15" s="77" t="s">
        <v>86</v>
      </c>
      <c r="D15" s="77">
        <f>+C14</f>
        <v>2120</v>
      </c>
    </row>
    <row r="16" spans="2:4" ht="15" thickBot="1">
      <c r="B16" s="77"/>
      <c r="C16" s="20">
        <f>SUM(C14:C15)</f>
        <v>2120</v>
      </c>
      <c r="D16" s="20">
        <f>SUM(D14:D15)</f>
        <v>2120</v>
      </c>
    </row>
    <row r="17" ht="15" thickTop="1"/>
    <row r="18" ht="14.25">
      <c r="B18" s="9" t="s">
        <v>445</v>
      </c>
    </row>
    <row r="20" spans="2:3" ht="14.25">
      <c r="B20" s="77" t="s">
        <v>97</v>
      </c>
      <c r="C20" s="77">
        <f>+'Inv acciones'!C24</f>
        <v>14460</v>
      </c>
    </row>
    <row r="21" ht="14.25">
      <c r="B21" s="77" t="s">
        <v>444</v>
      </c>
    </row>
    <row r="22" spans="2:4" ht="14.25">
      <c r="B22" s="77" t="s">
        <v>98</v>
      </c>
      <c r="D22" s="77">
        <f>+'Inv acciones'!D26</f>
        <v>15600</v>
      </c>
    </row>
    <row r="23" spans="2:4" ht="14.25">
      <c r="B23" s="77" t="s">
        <v>123</v>
      </c>
      <c r="C23" s="77">
        <f>+'Inv acciones'!C27</f>
        <v>1140</v>
      </c>
      <c r="D23" s="10"/>
    </row>
    <row r="24" spans="2:4" ht="15" thickBot="1">
      <c r="B24" s="77"/>
      <c r="C24" s="20">
        <f>SUM(C20:C23)</f>
        <v>15600</v>
      </c>
      <c r="D24" s="20">
        <f>SUM(D20:D23)</f>
        <v>15600</v>
      </c>
    </row>
    <row r="25" ht="15" thickTop="1"/>
    <row r="26" ht="14.25">
      <c r="B26" s="9" t="s">
        <v>454</v>
      </c>
    </row>
    <row r="28" spans="2:3" ht="14.25">
      <c r="B28" s="77" t="s">
        <v>97</v>
      </c>
      <c r="C28" s="77">
        <f>+CDT!C45</f>
        <v>13698.096923276893</v>
      </c>
    </row>
    <row r="29" ht="14.25">
      <c r="B29" s="77" t="s">
        <v>103</v>
      </c>
    </row>
    <row r="30" spans="2:4" ht="14.25">
      <c r="B30" s="77" t="s">
        <v>98</v>
      </c>
      <c r="D30" s="77">
        <f>+CDT!D47</f>
        <v>13446</v>
      </c>
    </row>
    <row r="31" ht="14.25">
      <c r="B31" s="77" t="s">
        <v>124</v>
      </c>
    </row>
    <row r="32" spans="2:4" ht="14.25">
      <c r="B32" s="77" t="s">
        <v>122</v>
      </c>
      <c r="D32" s="77">
        <f>+CDT!D49</f>
        <v>600</v>
      </c>
    </row>
    <row r="33" spans="2:4" ht="14.25">
      <c r="B33" s="77" t="s">
        <v>123</v>
      </c>
      <c r="C33" s="77">
        <f>+CDT!C50</f>
        <v>347.903076723107</v>
      </c>
      <c r="D33" s="77" t="s">
        <v>67</v>
      </c>
    </row>
    <row r="34" spans="2:4" ht="15" thickBot="1">
      <c r="B34" s="77"/>
      <c r="C34" s="20">
        <f>SUM(C28:C33)</f>
        <v>14046</v>
      </c>
      <c r="D34" s="20">
        <f>SUM(D28:D33)</f>
        <v>14046</v>
      </c>
    </row>
    <row r="35" ht="15" thickTop="1"/>
    <row r="36" ht="14.25">
      <c r="B36" s="25" t="s">
        <v>461</v>
      </c>
    </row>
    <row r="38" spans="2:5" ht="14.25">
      <c r="B38" s="77" t="s">
        <v>432</v>
      </c>
      <c r="C38" s="77">
        <f>+'Fondos fiduciarios'!C15</f>
        <v>8000</v>
      </c>
      <c r="E38" s="77"/>
    </row>
    <row r="39" spans="2:5" ht="14.25">
      <c r="B39" s="77" t="s">
        <v>98</v>
      </c>
      <c r="D39" s="77">
        <f>+C38</f>
        <v>8000</v>
      </c>
      <c r="E39" s="77"/>
    </row>
    <row r="40" spans="2:5" ht="14.25">
      <c r="B40" s="77" t="s">
        <v>459</v>
      </c>
      <c r="E40" s="77"/>
    </row>
    <row r="41" spans="2:5" ht="15" thickBot="1">
      <c r="B41" s="77"/>
      <c r="C41" s="20">
        <f>SUM(C37:C39)</f>
        <v>8000</v>
      </c>
      <c r="D41" s="20">
        <f>SUM(D37:D39)</f>
        <v>8000</v>
      </c>
      <c r="E41" s="77"/>
    </row>
    <row r="42" ht="15" thickTop="1"/>
    <row r="43" ht="14.25">
      <c r="B43" s="9" t="s">
        <v>504</v>
      </c>
    </row>
    <row r="45" spans="2:3" ht="14.25">
      <c r="B45" s="77" t="s">
        <v>123</v>
      </c>
      <c r="C45" s="77">
        <f>+CXCCliente!C61</f>
        <v>60.464085091345396</v>
      </c>
    </row>
    <row r="46" spans="2:4" ht="14.25">
      <c r="B46" s="77" t="s">
        <v>497</v>
      </c>
      <c r="D46" s="77">
        <f>+C45</f>
        <v>60.464085091345396</v>
      </c>
    </row>
    <row r="47" spans="2:4" ht="15" thickBot="1">
      <c r="B47" s="77"/>
      <c r="C47" s="20">
        <f>SUM(C45:C46)</f>
        <v>60.464085091345396</v>
      </c>
      <c r="D47" s="20">
        <f>SUM(D45:D46)</f>
        <v>60.464085091345396</v>
      </c>
    </row>
    <row r="48" ht="15" thickTop="1"/>
    <row r="49" ht="14.25">
      <c r="B49" s="9" t="s">
        <v>510</v>
      </c>
    </row>
    <row r="51" spans="2:3" ht="14.25">
      <c r="B51" s="77" t="s">
        <v>127</v>
      </c>
      <c r="C51" s="77">
        <f>+'Anticipo Provee'!C14</f>
        <v>1300</v>
      </c>
    </row>
    <row r="52" ht="14.25">
      <c r="B52" s="77" t="s">
        <v>128</v>
      </c>
    </row>
    <row r="53" spans="2:4" ht="14.25">
      <c r="B53" s="77" t="s">
        <v>129</v>
      </c>
      <c r="D53" s="77">
        <f>+C51</f>
        <v>1300</v>
      </c>
    </row>
    <row r="54" spans="2:4" ht="14.25">
      <c r="B54" s="77" t="s">
        <v>128</v>
      </c>
      <c r="C54" s="77" t="s">
        <v>67</v>
      </c>
      <c r="D54" s="77" t="s">
        <v>67</v>
      </c>
    </row>
    <row r="55" spans="2:4" ht="15" thickBot="1">
      <c r="B55" s="77"/>
      <c r="C55" s="20">
        <f>SUM(C51:C54)</f>
        <v>1300</v>
      </c>
      <c r="D55" s="20">
        <f>SUM(D51:D54)</f>
        <v>1300</v>
      </c>
    </row>
    <row r="56" ht="15" thickTop="1"/>
    <row r="57" ht="14.25">
      <c r="B57" s="9" t="s">
        <v>521</v>
      </c>
    </row>
    <row r="60" spans="2:3" ht="14.25">
      <c r="B60" s="14" t="s">
        <v>133</v>
      </c>
      <c r="C60" s="77">
        <f>+'Anticipos Iptos'!C31</f>
        <v>3000</v>
      </c>
    </row>
    <row r="61" spans="2:3" ht="14.25">
      <c r="B61" s="14" t="s">
        <v>134</v>
      </c>
      <c r="C61" s="77">
        <f>+'Anticipos Iptos'!C32</f>
        <v>13800</v>
      </c>
    </row>
    <row r="62" spans="2:4" ht="14.25">
      <c r="B62" s="14" t="s">
        <v>135</v>
      </c>
      <c r="D62" s="77">
        <f>+'Anticipos Iptos'!D33</f>
        <v>18000</v>
      </c>
    </row>
    <row r="63" spans="2:4" ht="14.25">
      <c r="B63" s="14" t="s">
        <v>136</v>
      </c>
      <c r="D63" s="77">
        <f>+'Anticipos Iptos'!D34</f>
        <v>1300</v>
      </c>
    </row>
    <row r="64" spans="2:3" ht="14.25">
      <c r="B64" s="14" t="s">
        <v>137</v>
      </c>
      <c r="C64" s="77">
        <f>+'Anticipos Iptos'!C35</f>
        <v>2500</v>
      </c>
    </row>
    <row r="65" spans="2:4" ht="15" thickBot="1">
      <c r="B65" s="77"/>
      <c r="C65" s="20">
        <f>SUM(C60:C64)</f>
        <v>19300</v>
      </c>
      <c r="D65" s="20">
        <f>SUM(D60:D64)</f>
        <v>19300</v>
      </c>
    </row>
    <row r="66" ht="15" thickTop="1"/>
    <row r="67" ht="14.25">
      <c r="B67" s="9" t="s">
        <v>593</v>
      </c>
    </row>
    <row r="69" spans="2:3" ht="14.25">
      <c r="B69" s="14" t="s">
        <v>123</v>
      </c>
      <c r="C69" s="77">
        <f>+'Ptos empleados'!C64</f>
        <v>1609.2806374953634</v>
      </c>
    </row>
    <row r="70" spans="2:4" ht="14.25">
      <c r="B70" s="14" t="s">
        <v>152</v>
      </c>
      <c r="D70" s="77">
        <f>+'Ptos empleados'!D65</f>
        <v>1609.2806374953634</v>
      </c>
    </row>
    <row r="71" spans="2:4" ht="15" thickBot="1">
      <c r="B71" s="77"/>
      <c r="C71" s="20">
        <f>SUM(C69:C70)</f>
        <v>1609.2806374953634</v>
      </c>
      <c r="D71" s="20">
        <f>SUM(D69:D70)</f>
        <v>1609.2806374953634</v>
      </c>
    </row>
    <row r="72" ht="15" thickTop="1"/>
    <row r="73" ht="14.25">
      <c r="B73" s="9" t="s">
        <v>866</v>
      </c>
    </row>
    <row r="75" spans="2:3" ht="14.25">
      <c r="B75" s="14" t="s">
        <v>123</v>
      </c>
      <c r="C75" s="77">
        <f>+'Deudores LP'!C64</f>
        <v>1335.5629520499747</v>
      </c>
    </row>
    <row r="76" spans="2:4" ht="14.25">
      <c r="B76" s="14" t="s">
        <v>155</v>
      </c>
      <c r="C76" s="77" t="s">
        <v>67</v>
      </c>
      <c r="D76" s="77">
        <f>+C75</f>
        <v>1335.5629520499747</v>
      </c>
    </row>
    <row r="77" spans="2:4" ht="15" thickBot="1">
      <c r="B77" s="77"/>
      <c r="C77" s="20">
        <f>SUM(C75:C76)</f>
        <v>1335.5629520499747</v>
      </c>
      <c r="D77" s="20">
        <f>SUM(D75:D76)</f>
        <v>1335.5629520499747</v>
      </c>
    </row>
    <row r="78" ht="15" thickTop="1"/>
    <row r="79" ht="14.25">
      <c r="B79" s="9" t="s">
        <v>594</v>
      </c>
    </row>
    <row r="81" spans="2:3" ht="14.25">
      <c r="B81" s="14" t="s">
        <v>123</v>
      </c>
      <c r="C81" s="77">
        <f>+'Provis cxc'!C66</f>
        <v>343.42058494432143</v>
      </c>
    </row>
    <row r="82" spans="2:4" ht="14.25">
      <c r="B82" s="14" t="s">
        <v>165</v>
      </c>
      <c r="C82" s="77" t="s">
        <v>67</v>
      </c>
      <c r="D82" s="77">
        <f>+'Provis cxc'!D67</f>
        <v>343.42058494432143</v>
      </c>
    </row>
    <row r="83" spans="2:4" ht="15" thickBot="1">
      <c r="B83" s="77"/>
      <c r="C83" s="20">
        <f>SUM(C81:C82)</f>
        <v>343.42058494432143</v>
      </c>
      <c r="D83" s="20">
        <f>SUM(D81:D82)</f>
        <v>343.42058494432143</v>
      </c>
    </row>
    <row r="84" ht="15" thickTop="1"/>
    <row r="85" ht="14.25">
      <c r="B85" s="9" t="s">
        <v>610</v>
      </c>
    </row>
    <row r="87" spans="2:3" ht="14.25">
      <c r="B87" s="14" t="s">
        <v>123</v>
      </c>
      <c r="C87" s="77">
        <f>+Transito!C46</f>
        <v>900</v>
      </c>
    </row>
    <row r="88" spans="2:4" ht="14.25">
      <c r="B88" s="14" t="s">
        <v>177</v>
      </c>
      <c r="C88" s="77" t="s">
        <v>67</v>
      </c>
      <c r="D88" s="77">
        <f>+C87</f>
        <v>900</v>
      </c>
    </row>
    <row r="89" spans="2:4" ht="15" thickBot="1">
      <c r="B89" s="77"/>
      <c r="C89" s="20">
        <f>SUM(C87:C88)</f>
        <v>900</v>
      </c>
      <c r="D89" s="20">
        <f>SUM(D87:D88)</f>
        <v>900</v>
      </c>
    </row>
    <row r="90" ht="15" thickTop="1"/>
    <row r="91" ht="14.25">
      <c r="B91" s="9" t="s">
        <v>614</v>
      </c>
    </row>
    <row r="93" spans="2:3" ht="14.25">
      <c r="B93" s="14" t="s">
        <v>123</v>
      </c>
      <c r="C93" s="77">
        <f>+Transito!C66</f>
        <v>700</v>
      </c>
    </row>
    <row r="94" spans="2:4" ht="14.25">
      <c r="B94" s="14" t="s">
        <v>177</v>
      </c>
      <c r="C94" s="77" t="s">
        <v>67</v>
      </c>
      <c r="D94" s="77">
        <f>+C93</f>
        <v>700</v>
      </c>
    </row>
    <row r="95" spans="2:4" ht="15" thickBot="1">
      <c r="B95" s="77"/>
      <c r="C95" s="20">
        <f>SUM(C93:C94)</f>
        <v>700</v>
      </c>
      <c r="D95" s="20">
        <f>SUM(D93:D94)</f>
        <v>700</v>
      </c>
    </row>
    <row r="96" ht="15" thickTop="1"/>
    <row r="97" ht="14.25">
      <c r="B97" s="9" t="s">
        <v>619</v>
      </c>
    </row>
    <row r="99" spans="2:3" ht="14.25">
      <c r="B99" s="14" t="s">
        <v>123</v>
      </c>
      <c r="C99" s="77">
        <f>+Mcias!C40</f>
        <v>3000</v>
      </c>
    </row>
    <row r="100" spans="2:4" ht="14.25">
      <c r="B100" s="14" t="s">
        <v>197</v>
      </c>
      <c r="C100" s="77" t="s">
        <v>67</v>
      </c>
      <c r="D100" s="77">
        <f>+C99</f>
        <v>3000</v>
      </c>
    </row>
    <row r="101" spans="2:4" ht="15" thickBot="1">
      <c r="B101" s="77"/>
      <c r="C101" s="20">
        <f>SUM(C99:C100)</f>
        <v>3000</v>
      </c>
      <c r="D101" s="20">
        <f>SUM(D99:D100)</f>
        <v>3000</v>
      </c>
    </row>
    <row r="102" ht="15" thickTop="1"/>
    <row r="103" ht="14.25">
      <c r="B103" s="9" t="s">
        <v>642</v>
      </c>
    </row>
    <row r="105" spans="2:3" ht="14.25">
      <c r="B105" s="14" t="s">
        <v>123</v>
      </c>
      <c r="C105" s="77">
        <f>+'VNR Provisión'!C32</f>
        <v>1744.9999999999998</v>
      </c>
    </row>
    <row r="106" spans="2:4" ht="14.25">
      <c r="B106" s="14" t="s">
        <v>197</v>
      </c>
      <c r="C106" s="77" t="s">
        <v>67</v>
      </c>
      <c r="D106" s="77">
        <f>+C105</f>
        <v>1744.9999999999998</v>
      </c>
    </row>
    <row r="107" spans="2:4" ht="15" thickBot="1">
      <c r="B107" s="77"/>
      <c r="C107" s="20">
        <f>SUM(C105:C106)</f>
        <v>1744.9999999999998</v>
      </c>
      <c r="D107" s="20">
        <f>SUM(D105:D106)</f>
        <v>1744.9999999999998</v>
      </c>
    </row>
    <row r="108" ht="15" thickTop="1"/>
    <row r="109" ht="14.25">
      <c r="B109" s="9" t="s">
        <v>643</v>
      </c>
    </row>
    <row r="111" spans="2:3" ht="14.25">
      <c r="B111" s="14" t="s">
        <v>204</v>
      </c>
      <c r="C111" s="77">
        <f>+'VNR Provisión'!C42</f>
        <v>1200</v>
      </c>
    </row>
    <row r="112" spans="2:4" ht="14.25">
      <c r="B112" s="14" t="s">
        <v>99</v>
      </c>
      <c r="C112" s="77" t="s">
        <v>67</v>
      </c>
      <c r="D112" s="77">
        <f>+C111</f>
        <v>1200</v>
      </c>
    </row>
    <row r="113" spans="2:4" ht="15" thickBot="1">
      <c r="B113" s="77"/>
      <c r="C113" s="20">
        <f>SUM(C111:C112)</f>
        <v>1200</v>
      </c>
      <c r="D113" s="20">
        <f>SUM(D111:D112)</f>
        <v>1200</v>
      </c>
    </row>
    <row r="114" ht="15" thickTop="1"/>
    <row r="115" ht="14.25">
      <c r="B115" s="9" t="s">
        <v>648</v>
      </c>
    </row>
    <row r="117" spans="2:3" ht="14.25">
      <c r="B117" s="14" t="s">
        <v>123</v>
      </c>
      <c r="C117" s="77">
        <f>+'AXI Invent'!C14</f>
        <v>900</v>
      </c>
    </row>
    <row r="118" spans="2:4" ht="14.25">
      <c r="B118" s="14" t="s">
        <v>206</v>
      </c>
      <c r="C118" s="77" t="s">
        <v>67</v>
      </c>
      <c r="D118" s="77">
        <f>+C117</f>
        <v>900</v>
      </c>
    </row>
    <row r="119" spans="2:4" ht="15" thickBot="1">
      <c r="B119" s="77"/>
      <c r="C119" s="20">
        <f>SUM(C117:C118)</f>
        <v>900</v>
      </c>
      <c r="D119" s="20">
        <f>SUM(D117:D118)</f>
        <v>900</v>
      </c>
    </row>
    <row r="120" ht="15" thickTop="1"/>
    <row r="121" ht="14.25">
      <c r="B121" s="9" t="s">
        <v>664</v>
      </c>
    </row>
    <row r="123" spans="2:3" ht="14.25">
      <c r="B123" s="37" t="s">
        <v>665</v>
      </c>
      <c r="C123" s="77">
        <f>+Inmuebles!D34</f>
        <v>11800</v>
      </c>
    </row>
    <row r="124" spans="2:3" ht="14.25">
      <c r="B124" s="77" t="s">
        <v>67</v>
      </c>
      <c r="C124" s="77" t="s">
        <v>67</v>
      </c>
    </row>
    <row r="125" spans="2:3" ht="14.25">
      <c r="B125" s="77" t="s">
        <v>666</v>
      </c>
      <c r="C125" s="77">
        <f>+Inmuebles!D39</f>
        <v>19000</v>
      </c>
    </row>
    <row r="126" ht="14.25">
      <c r="B126" s="77"/>
    </row>
    <row r="127" spans="2:4" ht="14.25">
      <c r="B127" s="77" t="s">
        <v>667</v>
      </c>
      <c r="D127" s="77">
        <f>+Inmuebles!E43</f>
        <v>14999.777777777777</v>
      </c>
    </row>
    <row r="128" ht="14.25">
      <c r="B128" s="77" t="s">
        <v>67</v>
      </c>
    </row>
    <row r="129" spans="2:4" ht="14.25">
      <c r="B129" s="10" t="s">
        <v>99</v>
      </c>
      <c r="D129" s="77">
        <f>+Inmuebles!E45</f>
        <v>15800.222222222223</v>
      </c>
    </row>
    <row r="130" spans="2:4" ht="15" thickBot="1">
      <c r="B130" s="9" t="s">
        <v>226</v>
      </c>
      <c r="C130" s="20">
        <f>SUM(C123:C129)</f>
        <v>30800</v>
      </c>
      <c r="D130" s="20">
        <f>SUM(D123:D129)</f>
        <v>30800</v>
      </c>
    </row>
    <row r="131" ht="15" thickTop="1"/>
    <row r="132" ht="14.25">
      <c r="B132" s="9" t="s">
        <v>671</v>
      </c>
    </row>
    <row r="134" spans="2:3" ht="14.25">
      <c r="B134" s="37" t="s">
        <v>670</v>
      </c>
      <c r="C134" s="77">
        <f>+Inmuebles!D70</f>
        <v>164500</v>
      </c>
    </row>
    <row r="135" ht="14.25">
      <c r="B135" s="37"/>
    </row>
    <row r="136" spans="2:3" ht="14.25">
      <c r="B136" s="37" t="s">
        <v>230</v>
      </c>
      <c r="C136" s="77">
        <f>+Inmuebles!D74</f>
        <v>53000</v>
      </c>
    </row>
    <row r="137" ht="14.25">
      <c r="B137" s="37"/>
    </row>
    <row r="138" spans="2:4" ht="14.25">
      <c r="B138" s="37" t="s">
        <v>669</v>
      </c>
      <c r="D138" s="77">
        <f>+Inmuebles!E77</f>
        <v>112300</v>
      </c>
    </row>
    <row r="139" ht="14.25">
      <c r="B139" s="37"/>
    </row>
    <row r="140" spans="2:3" ht="14.25">
      <c r="B140" s="37" t="s">
        <v>231</v>
      </c>
      <c r="C140" s="77">
        <f>+Inmuebles!D79</f>
        <v>32940</v>
      </c>
    </row>
    <row r="141" ht="14.25">
      <c r="B141" s="37"/>
    </row>
    <row r="142" spans="2:4" ht="14.25">
      <c r="B142" s="9" t="s">
        <v>99</v>
      </c>
      <c r="D142" s="77">
        <f>+Inmuebles!E81</f>
        <v>138140</v>
      </c>
    </row>
    <row r="144" spans="2:4" ht="15" thickBot="1">
      <c r="B144" s="9" t="s">
        <v>226</v>
      </c>
      <c r="C144" s="20">
        <f>SUM(C133:C143)</f>
        <v>250440</v>
      </c>
      <c r="D144" s="20">
        <f>SUM(D133:D143)</f>
        <v>250440</v>
      </c>
    </row>
    <row r="145" ht="15" thickTop="1"/>
    <row r="147" ht="14.25">
      <c r="B147" s="9" t="s">
        <v>676</v>
      </c>
    </row>
    <row r="149" spans="2:3" ht="14.25">
      <c r="B149" s="10" t="s">
        <v>303</v>
      </c>
      <c r="C149" s="77">
        <f>+Inmuebles!C109</f>
        <v>1600</v>
      </c>
    </row>
    <row r="150" spans="2:4" ht="14.25">
      <c r="B150" s="10" t="s">
        <v>289</v>
      </c>
      <c r="D150" s="77">
        <f>+C149</f>
        <v>1600</v>
      </c>
    </row>
    <row r="151" spans="2:4" ht="15" thickBot="1">
      <c r="B151" s="9" t="s">
        <v>226</v>
      </c>
      <c r="C151" s="20">
        <f>SUM(C149:C150)</f>
        <v>1600</v>
      </c>
      <c r="D151" s="20">
        <f>SUM(D149:D150)</f>
        <v>1600</v>
      </c>
    </row>
    <row r="152" ht="15" thickTop="1"/>
    <row r="154" spans="2:4" ht="14.25">
      <c r="B154" s="9" t="s">
        <v>758</v>
      </c>
      <c r="C154" s="10"/>
      <c r="D154" s="10"/>
    </row>
    <row r="155" spans="3:4" ht="14.25">
      <c r="C155" s="10"/>
      <c r="D155" s="10"/>
    </row>
    <row r="157" spans="2:3" ht="14.25">
      <c r="B157" s="10" t="s">
        <v>755</v>
      </c>
      <c r="C157" s="77">
        <f>+Inmuebles!C117</f>
        <v>15000</v>
      </c>
    </row>
    <row r="158" spans="2:4" ht="14.25">
      <c r="B158" s="10" t="s">
        <v>756</v>
      </c>
      <c r="D158" s="77">
        <f>+C157</f>
        <v>15000</v>
      </c>
    </row>
    <row r="159" spans="3:4" ht="15" thickBot="1">
      <c r="C159" s="20">
        <f>SUM(C157:C158)</f>
        <v>15000</v>
      </c>
      <c r="D159" s="20">
        <f>SUM(D157:D158)</f>
        <v>15000</v>
      </c>
    </row>
    <row r="160" ht="15" thickTop="1"/>
    <row r="161" ht="14.25">
      <c r="B161" s="9" t="s">
        <v>759</v>
      </c>
    </row>
    <row r="163" spans="2:3" ht="14.25">
      <c r="B163" s="10" t="s">
        <v>225</v>
      </c>
      <c r="C163" s="77" t="s">
        <v>67</v>
      </c>
    </row>
    <row r="164" spans="2:3" ht="14.25">
      <c r="B164" s="10" t="s">
        <v>265</v>
      </c>
      <c r="C164" s="77">
        <f>+Maqui!C38</f>
        <v>65000</v>
      </c>
    </row>
    <row r="166" spans="2:4" ht="14.25">
      <c r="B166" s="10" t="s">
        <v>266</v>
      </c>
      <c r="D166" s="77">
        <f>+Maqui!D40</f>
        <v>54000</v>
      </c>
    </row>
    <row r="168" spans="2:3" ht="14.25">
      <c r="B168" s="10" t="s">
        <v>231</v>
      </c>
      <c r="C168" s="77">
        <f>+Maqui!C42</f>
        <v>8100</v>
      </c>
    </row>
    <row r="170" spans="2:4" ht="14.25">
      <c r="B170" s="10" t="s">
        <v>99</v>
      </c>
      <c r="D170" s="77">
        <f>+Maqui!D44</f>
        <v>19100</v>
      </c>
    </row>
    <row r="171" spans="2:4" ht="15" thickBot="1">
      <c r="B171" s="9" t="s">
        <v>226</v>
      </c>
      <c r="C171" s="20">
        <f>SUM(C163:C170)</f>
        <v>73100</v>
      </c>
      <c r="D171" s="20">
        <f>SUM(D163:D170)</f>
        <v>73100</v>
      </c>
    </row>
    <row r="172" ht="15" thickTop="1"/>
    <row r="174" spans="2:4" ht="14.25">
      <c r="B174" s="9" t="s">
        <v>760</v>
      </c>
      <c r="C174" s="10"/>
      <c r="D174" s="10"/>
    </row>
    <row r="175" spans="3:4" ht="14.25">
      <c r="C175" s="10"/>
      <c r="D175" s="10"/>
    </row>
    <row r="177" spans="2:3" ht="14.25">
      <c r="B177" s="10" t="s">
        <v>755</v>
      </c>
      <c r="C177" s="77">
        <f>+Maqui!C79</f>
        <v>23000</v>
      </c>
    </row>
    <row r="178" spans="2:4" ht="14.25">
      <c r="B178" s="10" t="s">
        <v>756</v>
      </c>
      <c r="D178" s="77">
        <f>+C177</f>
        <v>23000</v>
      </c>
    </row>
    <row r="179" spans="3:4" ht="15" thickBot="1">
      <c r="C179" s="20">
        <f>SUM(C177:C178)</f>
        <v>23000</v>
      </c>
      <c r="D179" s="20">
        <f>SUM(D177:D178)</f>
        <v>23000</v>
      </c>
    </row>
    <row r="180" spans="3:4" ht="15" thickTop="1">
      <c r="C180" s="42"/>
      <c r="D180" s="42"/>
    </row>
    <row r="181" ht="14.25">
      <c r="B181" s="9" t="s">
        <v>762</v>
      </c>
    </row>
    <row r="183" spans="2:3" ht="14.25">
      <c r="B183" s="14" t="s">
        <v>123</v>
      </c>
      <c r="C183" s="77">
        <f>+'AXI PPE'!C16</f>
        <v>7000</v>
      </c>
    </row>
    <row r="184" spans="2:4" ht="14.25">
      <c r="B184" s="14" t="s">
        <v>302</v>
      </c>
      <c r="C184" s="77" t="s">
        <v>67</v>
      </c>
      <c r="D184" s="77">
        <f>+C183</f>
        <v>7000</v>
      </c>
    </row>
    <row r="185" spans="2:4" ht="15" thickBot="1">
      <c r="B185" s="77"/>
      <c r="C185" s="20">
        <f>SUM(C183:C184)</f>
        <v>7000</v>
      </c>
      <c r="D185" s="20">
        <f>SUM(D183:D184)</f>
        <v>7000</v>
      </c>
    </row>
    <row r="186" ht="15" thickTop="1"/>
    <row r="187" ht="14.25">
      <c r="B187" s="25" t="s">
        <v>763</v>
      </c>
    </row>
    <row r="188" ht="14.25">
      <c r="B188" s="77"/>
    </row>
    <row r="189" spans="2:4" ht="14.25">
      <c r="B189" s="10" t="s">
        <v>123</v>
      </c>
      <c r="C189" s="77">
        <f>+'CC'!C35</f>
        <v>4900</v>
      </c>
      <c r="D189" s="77" t="s">
        <v>67</v>
      </c>
    </row>
    <row r="190" spans="2:4" ht="14.25">
      <c r="B190" s="10" t="s">
        <v>702</v>
      </c>
      <c r="C190" s="77" t="s">
        <v>67</v>
      </c>
      <c r="D190" s="77">
        <f>+C189</f>
        <v>4900</v>
      </c>
    </row>
    <row r="191" spans="2:4" ht="15" thickBot="1">
      <c r="B191" s="9" t="s">
        <v>226</v>
      </c>
      <c r="C191" s="20">
        <f>SUM(C189:C190)</f>
        <v>4900</v>
      </c>
      <c r="D191" s="20">
        <f>SUM(D189:D190)</f>
        <v>4900</v>
      </c>
    </row>
    <row r="192" ht="15" thickTop="1"/>
    <row r="193" ht="14.25">
      <c r="B193" s="9" t="s">
        <v>764</v>
      </c>
    </row>
    <row r="195" spans="2:3" ht="14.25">
      <c r="B195" s="10" t="s">
        <v>123</v>
      </c>
      <c r="C195" s="77">
        <f>+Diferidos!C38</f>
        <v>5000</v>
      </c>
    </row>
    <row r="196" spans="2:4" ht="14.25">
      <c r="B196" s="10" t="s">
        <v>313</v>
      </c>
      <c r="D196" s="77">
        <f>+C195</f>
        <v>5000</v>
      </c>
    </row>
    <row r="197" spans="2:4" ht="15" thickBot="1">
      <c r="B197" s="9" t="s">
        <v>226</v>
      </c>
      <c r="C197" s="20">
        <f>SUM(C195:C196)</f>
        <v>5000</v>
      </c>
      <c r="D197" s="20">
        <f>SUM(D195:D196)</f>
        <v>5000</v>
      </c>
    </row>
    <row r="198" ht="15" thickTop="1"/>
    <row r="199" ht="14.25">
      <c r="B199" s="9" t="s">
        <v>765</v>
      </c>
    </row>
    <row r="201" spans="2:3" ht="14.25">
      <c r="B201" s="10" t="s">
        <v>123</v>
      </c>
      <c r="C201" s="77">
        <f>+Diferidos!C49</f>
        <v>2000</v>
      </c>
    </row>
    <row r="202" spans="2:4" ht="14.25">
      <c r="B202" s="10" t="s">
        <v>315</v>
      </c>
      <c r="D202" s="77">
        <f>+C201</f>
        <v>2000</v>
      </c>
    </row>
    <row r="203" spans="2:4" ht="15" thickBot="1">
      <c r="B203" s="9" t="s">
        <v>226</v>
      </c>
      <c r="C203" s="20">
        <f>SUM(C201:C202)</f>
        <v>2000</v>
      </c>
      <c r="D203" s="20">
        <f>SUM(D201:D202)</f>
        <v>2000</v>
      </c>
    </row>
    <row r="204" ht="15" thickTop="1"/>
    <row r="205" ht="14.25">
      <c r="B205" s="9" t="s">
        <v>766</v>
      </c>
    </row>
    <row r="207" spans="2:3" ht="14.25">
      <c r="B207" s="10" t="s">
        <v>123</v>
      </c>
      <c r="C207" s="77">
        <f>+Diferidos!C60</f>
        <v>1000</v>
      </c>
    </row>
    <row r="208" spans="2:4" ht="14.25">
      <c r="B208" s="10" t="s">
        <v>317</v>
      </c>
      <c r="D208" s="77">
        <f>+C207</f>
        <v>1000</v>
      </c>
    </row>
    <row r="209" spans="2:4" ht="15" thickBot="1">
      <c r="B209" s="9" t="s">
        <v>226</v>
      </c>
      <c r="C209" s="20">
        <f>SUM(C207:C208)</f>
        <v>1000</v>
      </c>
      <c r="D209" s="20">
        <f>SUM(D207:D208)</f>
        <v>1000</v>
      </c>
    </row>
    <row r="210" ht="15" thickTop="1"/>
    <row r="212" ht="14.25">
      <c r="B212" s="9" t="s">
        <v>767</v>
      </c>
    </row>
    <row r="214" spans="2:3" ht="14.25">
      <c r="B214" s="10" t="s">
        <v>123</v>
      </c>
      <c r="C214" s="77">
        <f>+Diferidos!C75</f>
        <v>6000</v>
      </c>
    </row>
    <row r="215" spans="2:4" ht="14.25">
      <c r="B215" s="10" t="s">
        <v>322</v>
      </c>
      <c r="D215" s="77">
        <f>+C214</f>
        <v>6000</v>
      </c>
    </row>
    <row r="216" spans="2:4" ht="15" thickBot="1">
      <c r="B216" s="9" t="s">
        <v>226</v>
      </c>
      <c r="C216" s="20">
        <f>SUM(C214:C215)</f>
        <v>6000</v>
      </c>
      <c r="D216" s="20">
        <f>SUM(D214:D215)</f>
        <v>6000</v>
      </c>
    </row>
    <row r="217" ht="15" thickTop="1"/>
    <row r="218" ht="14.25">
      <c r="B218" s="9" t="s">
        <v>768</v>
      </c>
    </row>
    <row r="220" spans="2:3" ht="14.25">
      <c r="B220" s="10" t="s">
        <v>123</v>
      </c>
      <c r="C220" s="77">
        <f>+Diferidos!C87</f>
        <v>1300</v>
      </c>
    </row>
    <row r="221" spans="2:4" ht="14.25">
      <c r="B221" s="10" t="s">
        <v>325</v>
      </c>
      <c r="D221" s="77">
        <f>+C220</f>
        <v>1300</v>
      </c>
    </row>
    <row r="222" spans="2:4" ht="15" thickBot="1">
      <c r="B222" s="9" t="s">
        <v>226</v>
      </c>
      <c r="C222" s="20">
        <f>SUM(C218:C221)</f>
        <v>1300</v>
      </c>
      <c r="D222" s="20">
        <f>SUM(D218:D221)</f>
        <v>1300</v>
      </c>
    </row>
    <row r="223" ht="15" thickTop="1"/>
    <row r="224" ht="14.25">
      <c r="B224" s="9" t="s">
        <v>769</v>
      </c>
    </row>
    <row r="226" spans="2:3" ht="14.25">
      <c r="B226" s="10" t="s">
        <v>123</v>
      </c>
      <c r="C226" s="77">
        <f>+Mejoras!C30</f>
        <v>5600</v>
      </c>
    </row>
    <row r="227" spans="2:4" ht="14.25">
      <c r="B227" s="10" t="s">
        <v>338</v>
      </c>
      <c r="D227" s="77">
        <f>+C226</f>
        <v>5600</v>
      </c>
    </row>
    <row r="228" spans="2:4" ht="15" thickBot="1">
      <c r="B228" s="9" t="s">
        <v>226</v>
      </c>
      <c r="C228" s="20">
        <f>SUM(C226:C227)</f>
        <v>5600</v>
      </c>
      <c r="D228" s="20">
        <f>SUM(D226:D227)</f>
        <v>5600</v>
      </c>
    </row>
    <row r="229" spans="2:4" ht="15" thickTop="1">
      <c r="B229" s="9"/>
      <c r="C229" s="42"/>
      <c r="D229" s="42"/>
    </row>
    <row r="230" ht="14.25">
      <c r="B230" s="9" t="s">
        <v>770</v>
      </c>
    </row>
    <row r="231" ht="14.25">
      <c r="B231" s="9"/>
    </row>
    <row r="232" spans="2:3" ht="14.25">
      <c r="B232" s="10" t="s">
        <v>347</v>
      </c>
      <c r="C232" s="77">
        <f>+Mejoras!C53</f>
        <v>4251.4285714285725</v>
      </c>
    </row>
    <row r="233" spans="2:4" ht="14.25">
      <c r="B233" s="10" t="s">
        <v>99</v>
      </c>
      <c r="D233" s="77">
        <f>+C232</f>
        <v>4251.4285714285725</v>
      </c>
    </row>
    <row r="234" spans="2:4" ht="15" thickBot="1">
      <c r="B234" s="9" t="s">
        <v>226</v>
      </c>
      <c r="C234" s="20">
        <f>SUM(C232:C233)</f>
        <v>4251.4285714285725</v>
      </c>
      <c r="D234" s="20">
        <f>SUM(D232:D233)</f>
        <v>4251.4285714285725</v>
      </c>
    </row>
    <row r="235" ht="15" thickTop="1"/>
    <row r="236" ht="14.25">
      <c r="B236" s="9" t="s">
        <v>771</v>
      </c>
    </row>
    <row r="237" ht="14.25">
      <c r="B237" s="9"/>
    </row>
    <row r="238" spans="2:3" ht="14.25">
      <c r="B238" s="10" t="s">
        <v>740</v>
      </c>
      <c r="C238" s="77">
        <f>+Mejoras!C72</f>
        <v>3161.0625016234235</v>
      </c>
    </row>
    <row r="239" spans="2:4" ht="14.25">
      <c r="B239" s="10" t="s">
        <v>358</v>
      </c>
      <c r="D239" s="77">
        <f>+Mejoras!D73</f>
        <v>3161.0625016234235</v>
      </c>
    </row>
    <row r="240" spans="2:4" ht="15" thickBot="1">
      <c r="B240" s="9" t="s">
        <v>226</v>
      </c>
      <c r="C240" s="20">
        <f>SUM(C238:C239)</f>
        <v>3161.0625016234235</v>
      </c>
      <c r="D240" s="20">
        <f>SUM(D238:D239)</f>
        <v>3161.0625016234235</v>
      </c>
    </row>
    <row r="241" ht="15" thickTop="1"/>
    <row r="242" ht="14.25">
      <c r="B242" s="9" t="s">
        <v>772</v>
      </c>
    </row>
    <row r="244" spans="2:3" ht="14.25">
      <c r="B244" s="10" t="s">
        <v>225</v>
      </c>
      <c r="C244" s="77">
        <f>+Mejoras!C88</f>
        <v>33161.062501623426</v>
      </c>
    </row>
    <row r="245" spans="2:4" ht="14.25">
      <c r="B245" s="10" t="s">
        <v>365</v>
      </c>
      <c r="D245" s="77">
        <f>+Mejoras!D89</f>
        <v>33161.062501623426</v>
      </c>
    </row>
    <row r="246" spans="2:3" ht="14.25">
      <c r="B246" s="10" t="s">
        <v>366</v>
      </c>
      <c r="C246" s="77">
        <f>+Mejoras!C90</f>
        <v>6428.5714285714275</v>
      </c>
    </row>
    <row r="247" spans="2:4" ht="14.25">
      <c r="B247" s="10" t="s">
        <v>301</v>
      </c>
      <c r="D247" s="77">
        <f>+Mejoras!D91</f>
        <v>6428.5714285714275</v>
      </c>
    </row>
    <row r="248" spans="2:4" ht="15" thickBot="1">
      <c r="B248" s="9" t="s">
        <v>226</v>
      </c>
      <c r="C248" s="20">
        <f>SUM(C244:C247)</f>
        <v>39589.633930194854</v>
      </c>
      <c r="D248" s="20">
        <f>SUM(D244:D247)</f>
        <v>39589.633930194854</v>
      </c>
    </row>
    <row r="249" ht="15" thickTop="1"/>
    <row r="250" ht="14.25">
      <c r="B250" s="9" t="s">
        <v>773</v>
      </c>
    </row>
    <row r="252" spans="2:3" ht="14.25">
      <c r="B252" s="10" t="s">
        <v>123</v>
      </c>
      <c r="C252" s="77">
        <f>+'IP'!C35</f>
        <v>3000</v>
      </c>
    </row>
    <row r="253" spans="2:4" ht="14.25">
      <c r="B253" s="10" t="s">
        <v>370</v>
      </c>
      <c r="D253" s="77">
        <f>+'IP'!D36</f>
        <v>3000</v>
      </c>
    </row>
    <row r="254" spans="2:4" ht="15" thickBot="1">
      <c r="B254" s="9" t="s">
        <v>226</v>
      </c>
      <c r="C254" s="20">
        <f>SUM(C252:C253)</f>
        <v>3000</v>
      </c>
      <c r="D254" s="20">
        <f>SUM(D252:D253)</f>
        <v>3000</v>
      </c>
    </row>
    <row r="255" ht="15" thickTop="1"/>
    <row r="256" spans="2:4" ht="14.25">
      <c r="B256" s="9" t="s">
        <v>774</v>
      </c>
      <c r="C256" s="10"/>
      <c r="D256" s="10"/>
    </row>
    <row r="257" ht="14.25">
      <c r="E257" s="77"/>
    </row>
    <row r="258" spans="2:5" ht="14.25">
      <c r="B258" s="10" t="s">
        <v>755</v>
      </c>
      <c r="C258" s="77">
        <f>+'IP'!C43</f>
        <v>11000</v>
      </c>
      <c r="E258" s="77"/>
    </row>
    <row r="259" spans="2:5" ht="14.25">
      <c r="B259" s="10" t="s">
        <v>756</v>
      </c>
      <c r="D259" s="77">
        <f>+C258</f>
        <v>11000</v>
      </c>
      <c r="E259" s="77"/>
    </row>
    <row r="260" ht="14.25">
      <c r="E260" s="77"/>
    </row>
    <row r="261" spans="3:5" ht="15" thickBot="1">
      <c r="C261" s="20">
        <f>SUM(C258:C260)</f>
        <v>11000</v>
      </c>
      <c r="D261" s="20">
        <f>SUM(D258:D260)</f>
        <v>11000</v>
      </c>
      <c r="E261" s="77"/>
    </row>
    <row r="262" ht="15" thickTop="1"/>
    <row r="263" spans="2:4" ht="14.25">
      <c r="B263" s="9" t="s">
        <v>781</v>
      </c>
      <c r="C263" s="10"/>
      <c r="D263" s="10"/>
    </row>
    <row r="264" spans="3:4" ht="14.25">
      <c r="C264" s="10"/>
      <c r="D264" s="10"/>
    </row>
    <row r="265" spans="2:4" ht="14.25">
      <c r="B265" s="10" t="s">
        <v>97</v>
      </c>
      <c r="C265" s="19">
        <f>+'IP'!C51</f>
        <v>11000</v>
      </c>
      <c r="D265" s="10"/>
    </row>
    <row r="266" spans="2:4" ht="14.25">
      <c r="B266" s="10" t="s">
        <v>779</v>
      </c>
      <c r="C266" s="10"/>
      <c r="D266" s="10"/>
    </row>
    <row r="267" spans="2:4" ht="14.25">
      <c r="B267" s="10" t="s">
        <v>370</v>
      </c>
      <c r="C267" s="10"/>
      <c r="D267" s="10"/>
    </row>
    <row r="268" spans="2:4" ht="14.25">
      <c r="B268" s="10" t="s">
        <v>88</v>
      </c>
      <c r="C268" s="10"/>
      <c r="D268" s="19">
        <f>+'IP'!D54</f>
        <v>6000</v>
      </c>
    </row>
    <row r="269" spans="2:4" ht="14.25">
      <c r="B269" s="10" t="s">
        <v>780</v>
      </c>
      <c r="C269" s="10"/>
      <c r="D269" s="19">
        <f>+'IP'!D55</f>
        <v>5000</v>
      </c>
    </row>
    <row r="270" spans="3:4" ht="14.25">
      <c r="C270" s="10"/>
      <c r="D270" s="10"/>
    </row>
    <row r="271" spans="3:4" ht="15" thickBot="1">
      <c r="C271" s="20">
        <f>SUM(C265:C270)</f>
        <v>11000</v>
      </c>
      <c r="D271" s="20">
        <f>SUM(D265:D270)</f>
        <v>11000</v>
      </c>
    </row>
    <row r="272" ht="15" thickTop="1"/>
    <row r="273" ht="14.25">
      <c r="B273" s="9" t="s">
        <v>825</v>
      </c>
    </row>
    <row r="275" spans="2:4" ht="14.25">
      <c r="B275" s="10" t="s">
        <v>799</v>
      </c>
      <c r="C275" s="19">
        <f>+OF!C125</f>
        <v>1417.1715479276172</v>
      </c>
      <c r="D275" s="10"/>
    </row>
    <row r="276" spans="2:4" ht="14.25">
      <c r="B276" s="10" t="s">
        <v>798</v>
      </c>
      <c r="C276" s="19">
        <f>+OF!C126</f>
        <v>2565</v>
      </c>
      <c r="D276" s="10"/>
    </row>
    <row r="277" spans="2:4" ht="14.25">
      <c r="B277" s="10" t="s">
        <v>392</v>
      </c>
      <c r="C277" s="10"/>
      <c r="D277" s="19">
        <f>+OF!D127</f>
        <v>3982.171547927617</v>
      </c>
    </row>
    <row r="278" spans="2:4" ht="15" thickBot="1">
      <c r="B278" s="9" t="s">
        <v>226</v>
      </c>
      <c r="C278" s="31">
        <f>SUM(C275:C277)</f>
        <v>3982.171547927617</v>
      </c>
      <c r="D278" s="31">
        <f>SUM(D275:D277)</f>
        <v>3982.171547927617</v>
      </c>
    </row>
    <row r="279" ht="15" thickTop="1"/>
    <row r="280" ht="14.25">
      <c r="B280" s="9" t="s">
        <v>826</v>
      </c>
    </row>
    <row r="282" spans="2:3" ht="14.25">
      <c r="B282" s="10" t="s">
        <v>823</v>
      </c>
      <c r="C282" s="77">
        <f>+'Pasivo laboral'!D48</f>
        <v>3568.8801793272437</v>
      </c>
    </row>
    <row r="283" spans="2:4" ht="14.25">
      <c r="B283" s="10" t="s">
        <v>824</v>
      </c>
      <c r="D283" s="77">
        <f>+C282</f>
        <v>3568.8801793272437</v>
      </c>
    </row>
    <row r="284" spans="3:4" ht="14.25">
      <c r="C284" s="43"/>
      <c r="D284" s="43"/>
    </row>
    <row r="285" spans="3:4" ht="15" thickBot="1">
      <c r="C285" s="20">
        <f>+C282</f>
        <v>3568.8801793272437</v>
      </c>
      <c r="D285" s="20">
        <f>+D283</f>
        <v>3568.8801793272437</v>
      </c>
    </row>
    <row r="286" ht="15" thickTop="1"/>
    <row r="287" ht="14.25">
      <c r="B287" s="16" t="s">
        <v>837</v>
      </c>
    </row>
    <row r="290" ht="14.25">
      <c r="B290" s="9" t="s">
        <v>223</v>
      </c>
    </row>
    <row r="292" spans="2:3" ht="14.25">
      <c r="B292" s="10" t="s">
        <v>401</v>
      </c>
      <c r="C292" s="77">
        <v>6700</v>
      </c>
    </row>
    <row r="293" spans="2:4" ht="14.25">
      <c r="B293" s="10" t="s">
        <v>402</v>
      </c>
      <c r="D293" s="77">
        <f>+C292</f>
        <v>6700</v>
      </c>
    </row>
    <row r="295" spans="2:4" ht="15" thickBot="1">
      <c r="B295" s="9" t="s">
        <v>226</v>
      </c>
      <c r="C295" s="20">
        <f>SUM(C290:C294)</f>
        <v>6700</v>
      </c>
      <c r="D295" s="20">
        <f>SUM(D290:D294)</f>
        <v>6700</v>
      </c>
    </row>
    <row r="296" ht="15" thickTop="1"/>
    <row r="298" ht="14.25">
      <c r="B298" s="9" t="s">
        <v>838</v>
      </c>
    </row>
    <row r="300" ht="14.25">
      <c r="B300" s="9" t="s">
        <v>223</v>
      </c>
    </row>
    <row r="302" spans="2:3" ht="14.25">
      <c r="B302" s="10" t="s">
        <v>401</v>
      </c>
      <c r="C302" s="77">
        <v>1300</v>
      </c>
    </row>
    <row r="303" spans="2:4" ht="14.25">
      <c r="B303" s="10" t="s">
        <v>99</v>
      </c>
      <c r="D303" s="77">
        <f>+C302</f>
        <v>1300</v>
      </c>
    </row>
    <row r="305" spans="2:4" ht="15" thickBot="1">
      <c r="B305" s="9" t="s">
        <v>226</v>
      </c>
      <c r="C305" s="20">
        <f>SUM(C300:C304)</f>
        <v>1300</v>
      </c>
      <c r="D305" s="20">
        <f>SUM(D300:D304)</f>
        <v>1300</v>
      </c>
    </row>
    <row r="306" ht="15" thickTop="1"/>
    <row r="307" spans="2:4" ht="14.25">
      <c r="B307" s="9" t="s">
        <v>839</v>
      </c>
      <c r="C307" s="10"/>
      <c r="D307" s="10"/>
    </row>
    <row r="308" spans="3:4" ht="14.25">
      <c r="C308" s="10"/>
      <c r="D308" s="10"/>
    </row>
    <row r="309" spans="2:4" ht="14.25">
      <c r="B309" s="10" t="s">
        <v>835</v>
      </c>
      <c r="C309" s="19">
        <f>+Provisiones!C46</f>
        <v>14000</v>
      </c>
      <c r="D309" s="10"/>
    </row>
    <row r="310" spans="2:4" ht="14.25">
      <c r="B310" s="10" t="s">
        <v>836</v>
      </c>
      <c r="C310" s="10"/>
      <c r="D310" s="19">
        <f>+C309</f>
        <v>14000</v>
      </c>
    </row>
    <row r="311" spans="2:4" ht="15" thickBot="1">
      <c r="B311" s="9" t="s">
        <v>226</v>
      </c>
      <c r="C311" s="20">
        <f>SUM(C306:C310)</f>
        <v>14000</v>
      </c>
      <c r="D311" s="20">
        <f>SUM(D306:D310)</f>
        <v>14000</v>
      </c>
    </row>
    <row r="312" ht="15" thickTop="1"/>
    <row r="313" ht="14.25">
      <c r="B313" s="9" t="s">
        <v>844</v>
      </c>
    </row>
    <row r="315" spans="2:3" ht="14.25">
      <c r="B315" s="10" t="s">
        <v>386</v>
      </c>
      <c r="C315" s="77">
        <f>+CXPLP!C42</f>
        <v>2047.269082788982</v>
      </c>
    </row>
    <row r="317" spans="2:4" ht="14.25">
      <c r="B317" s="10" t="s">
        <v>99</v>
      </c>
      <c r="D317" s="77">
        <f>+C315</f>
        <v>2047.269082788982</v>
      </c>
    </row>
    <row r="319" spans="2:4" ht="15" thickBot="1">
      <c r="B319" s="9" t="s">
        <v>226</v>
      </c>
      <c r="C319" s="20">
        <f>SUM(C314:C318)</f>
        <v>2047.269082788982</v>
      </c>
      <c r="D319" s="20">
        <f>SUM(D314:D318)</f>
        <v>2047.269082788982</v>
      </c>
    </row>
    <row r="320" ht="15" thickTop="1"/>
    <row r="322" ht="14.25">
      <c r="B322" s="9" t="s">
        <v>851</v>
      </c>
    </row>
    <row r="324" spans="2:3" ht="14.25">
      <c r="B324" s="10" t="s">
        <v>304</v>
      </c>
      <c r="C324" s="77">
        <f>+Arrend!C29</f>
        <v>9000</v>
      </c>
    </row>
    <row r="325" spans="2:4" ht="14.25">
      <c r="B325" s="10" t="s">
        <v>288</v>
      </c>
      <c r="D325" s="77">
        <f>+Arrend!D30</f>
        <v>8998.980407050642</v>
      </c>
    </row>
    <row r="326" spans="2:4" ht="14.25">
      <c r="B326" s="10" t="s">
        <v>289</v>
      </c>
      <c r="D326" s="77">
        <f>+Arrend!D31</f>
        <v>1.0195929493584117</v>
      </c>
    </row>
    <row r="327" spans="3:4" ht="15" thickBot="1">
      <c r="C327" s="20">
        <f>SUM(C324:C326)</f>
        <v>9000</v>
      </c>
      <c r="D327" s="20">
        <f>SUM(D324:D326)</f>
        <v>9000</v>
      </c>
    </row>
    <row r="328" ht="15" thickTop="1"/>
    <row r="329" ht="14.25">
      <c r="B329" s="9" t="s">
        <v>852</v>
      </c>
    </row>
    <row r="331" spans="2:3" ht="14.25">
      <c r="B331" s="10" t="s">
        <v>123</v>
      </c>
      <c r="C331" s="77">
        <f>+Arrend!C50</f>
        <v>112.5</v>
      </c>
    </row>
    <row r="332" spans="2:4" ht="14.25">
      <c r="B332" s="10" t="s">
        <v>301</v>
      </c>
      <c r="D332" s="77">
        <f>+C331</f>
        <v>112.5</v>
      </c>
    </row>
    <row r="333" spans="3:4" ht="15" thickBot="1">
      <c r="C333" s="20">
        <f>SUM(C331:C332)</f>
        <v>112.5</v>
      </c>
      <c r="D333" s="20">
        <f>SUM(D331:D332)</f>
        <v>112.5</v>
      </c>
    </row>
    <row r="334" spans="3:4" ht="15" thickTop="1">
      <c r="C334" s="10"/>
      <c r="D334" s="10"/>
    </row>
    <row r="335" spans="2:4" ht="14.25">
      <c r="B335" s="9" t="s">
        <v>857</v>
      </c>
      <c r="C335" s="10"/>
      <c r="D335" s="10"/>
    </row>
    <row r="336" spans="3:4" ht="14.25">
      <c r="C336" s="10"/>
      <c r="D336" s="10"/>
    </row>
    <row r="337" spans="2:5" ht="14.25">
      <c r="B337" s="10" t="s">
        <v>856</v>
      </c>
      <c r="C337" s="77">
        <f>+Patrimo!C8</f>
        <v>5500</v>
      </c>
      <c r="E337" s="77"/>
    </row>
    <row r="338" spans="2:5" ht="14.25">
      <c r="B338" s="10" t="s">
        <v>99</v>
      </c>
      <c r="D338" s="77">
        <f>+C337</f>
        <v>5500</v>
      </c>
      <c r="E338" s="77"/>
    </row>
    <row r="339" spans="3:5" ht="15" thickBot="1">
      <c r="C339" s="20">
        <f>SUM(C337:C338)</f>
        <v>5500</v>
      </c>
      <c r="D339" s="20">
        <f>SUM(D337:D338)</f>
        <v>5500</v>
      </c>
      <c r="E339" s="77"/>
    </row>
    <row r="340" ht="15" thickTop="1">
      <c r="E340" s="77"/>
    </row>
    <row r="342" ht="14.25">
      <c r="B342" s="9" t="s">
        <v>858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5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28125" style="10" customWidth="1"/>
    <col min="2" max="2" width="30.57421875" style="10" bestFit="1" customWidth="1"/>
    <col min="3" max="16384" width="11.57421875" style="10" customWidth="1"/>
  </cols>
  <sheetData>
    <row r="2" spans="2:8" ht="14.25">
      <c r="B2" s="9" t="s">
        <v>845</v>
      </c>
      <c r="D2" s="72"/>
      <c r="E2" s="72"/>
      <c r="F2" s="72"/>
      <c r="G2" s="72"/>
      <c r="H2" s="72"/>
    </row>
    <row r="3" spans="4:8" ht="14.25">
      <c r="D3" s="72"/>
      <c r="E3" s="72"/>
      <c r="F3" s="72"/>
      <c r="G3" s="72"/>
      <c r="H3" s="72"/>
    </row>
    <row r="4" spans="2:8" ht="14.25">
      <c r="B4" s="9" t="s">
        <v>82</v>
      </c>
      <c r="C4" s="10" t="s">
        <v>83</v>
      </c>
      <c r="D4" s="72"/>
      <c r="E4" s="72"/>
      <c r="F4" s="72"/>
      <c r="G4" s="72"/>
      <c r="H4" s="72"/>
    </row>
    <row r="5" spans="3:8" ht="14.25">
      <c r="C5" s="10" t="s">
        <v>67</v>
      </c>
      <c r="D5" s="72"/>
      <c r="E5" s="72"/>
      <c r="F5" s="72"/>
      <c r="G5" s="72"/>
      <c r="H5" s="72"/>
    </row>
    <row r="6" spans="2:8" ht="14.25">
      <c r="B6" s="25" t="s">
        <v>428</v>
      </c>
      <c r="C6" s="72" t="s">
        <v>846</v>
      </c>
      <c r="D6" s="72"/>
      <c r="E6" s="72"/>
      <c r="F6" s="72"/>
      <c r="G6" s="72"/>
      <c r="H6" s="72"/>
    </row>
    <row r="7" spans="4:8" ht="14.25">
      <c r="D7" s="72"/>
      <c r="E7" s="72"/>
      <c r="F7" s="72"/>
      <c r="G7" s="72"/>
      <c r="H7" s="72"/>
    </row>
    <row r="9" spans="2:3" ht="14.25">
      <c r="B9" s="9" t="s">
        <v>274</v>
      </c>
      <c r="C9" s="10" t="s">
        <v>275</v>
      </c>
    </row>
    <row r="10" ht="14.25">
      <c r="C10" s="10" t="s">
        <v>276</v>
      </c>
    </row>
    <row r="12" ht="14.25">
      <c r="B12" s="9" t="s">
        <v>277</v>
      </c>
    </row>
    <row r="14" spans="2:3" ht="14.25">
      <c r="B14" s="10" t="s">
        <v>278</v>
      </c>
      <c r="C14" s="32">
        <v>41821</v>
      </c>
    </row>
    <row r="15" spans="2:3" ht="14.25">
      <c r="B15" s="10" t="s">
        <v>87</v>
      </c>
      <c r="C15" s="10" t="s">
        <v>847</v>
      </c>
    </row>
    <row r="16" spans="2:4" ht="14.25">
      <c r="B16" s="10" t="s">
        <v>107</v>
      </c>
      <c r="C16" s="10">
        <v>40</v>
      </c>
      <c r="D16" s="10" t="s">
        <v>145</v>
      </c>
    </row>
    <row r="17" spans="2:4" ht="14.25">
      <c r="B17" s="10" t="s">
        <v>279</v>
      </c>
      <c r="C17" s="10">
        <f>+C16*12</f>
        <v>480</v>
      </c>
      <c r="D17" s="10" t="s">
        <v>108</v>
      </c>
    </row>
    <row r="18" spans="2:3" ht="14.25">
      <c r="B18" s="10" t="s">
        <v>280</v>
      </c>
      <c r="C18" s="10">
        <v>125.16</v>
      </c>
    </row>
    <row r="19" spans="2:3" ht="14.25">
      <c r="B19" s="10" t="s">
        <v>281</v>
      </c>
      <c r="C19" s="10">
        <v>90</v>
      </c>
    </row>
    <row r="20" spans="2:3" ht="14.25">
      <c r="B20" s="10" t="s">
        <v>245</v>
      </c>
      <c r="C20" s="72">
        <v>9000</v>
      </c>
    </row>
    <row r="21" spans="2:3" ht="14.25">
      <c r="B21" s="10" t="s">
        <v>120</v>
      </c>
      <c r="C21" s="33">
        <f>PV(C23,C17,-C18,,0)</f>
        <v>8999.80782609538</v>
      </c>
    </row>
    <row r="22" spans="2:4" ht="14.25">
      <c r="B22" s="10" t="s">
        <v>282</v>
      </c>
      <c r="C22" s="27">
        <v>0.18</v>
      </c>
      <c r="D22" s="10" t="s">
        <v>115</v>
      </c>
    </row>
    <row r="23" spans="2:4" ht="14.25">
      <c r="B23" s="10" t="s">
        <v>283</v>
      </c>
      <c r="C23" s="53">
        <f>+(1+C22)^(1/12)-1</f>
        <v>0.01388843034840992</v>
      </c>
      <c r="D23" s="10" t="s">
        <v>284</v>
      </c>
    </row>
    <row r="25" spans="2:3" ht="14.25">
      <c r="B25" s="10" t="s">
        <v>285</v>
      </c>
      <c r="C25" s="10" t="s">
        <v>286</v>
      </c>
    </row>
    <row r="27" ht="14.25">
      <c r="B27" s="9" t="s">
        <v>274</v>
      </c>
    </row>
    <row r="29" spans="2:3" ht="14.25">
      <c r="B29" s="10" t="s">
        <v>287</v>
      </c>
      <c r="C29" s="34">
        <v>9000</v>
      </c>
    </row>
    <row r="30" spans="2:4" ht="14.25">
      <c r="B30" s="10" t="s">
        <v>288</v>
      </c>
      <c r="D30" s="34">
        <f>+G41</f>
        <v>8998.980407050642</v>
      </c>
    </row>
    <row r="31" spans="2:4" ht="14.25">
      <c r="B31" s="10" t="s">
        <v>99</v>
      </c>
      <c r="D31" s="34">
        <f>+C29-D30</f>
        <v>1.0195929493584117</v>
      </c>
    </row>
    <row r="32" spans="3:4" ht="15" thickBot="1">
      <c r="C32" s="74">
        <f>SUM(C29:C31)</f>
        <v>9000</v>
      </c>
      <c r="D32" s="74">
        <f>SUM(D29:D31)</f>
        <v>9000</v>
      </c>
    </row>
    <row r="33" ht="15" thickTop="1"/>
    <row r="34" ht="14.25">
      <c r="B34" s="10" t="s">
        <v>290</v>
      </c>
    </row>
    <row r="35" spans="2:7" ht="14.25">
      <c r="B35" s="12" t="s">
        <v>848</v>
      </c>
      <c r="C35" s="12" t="s">
        <v>793</v>
      </c>
      <c r="D35" s="12" t="s">
        <v>148</v>
      </c>
      <c r="E35" s="12" t="s">
        <v>291</v>
      </c>
      <c r="F35" s="12" t="s">
        <v>292</v>
      </c>
      <c r="G35" s="12" t="s">
        <v>293</v>
      </c>
    </row>
    <row r="36" spans="2:7" ht="14.25">
      <c r="B36" s="66">
        <v>41821</v>
      </c>
      <c r="C36" s="10">
        <v>1</v>
      </c>
      <c r="D36" s="34">
        <f>+C29</f>
        <v>9000</v>
      </c>
      <c r="E36" s="63">
        <f aca="true" t="shared" si="0" ref="E36:E41">+D36*$C$23</f>
        <v>124.99587313568927</v>
      </c>
      <c r="F36" s="10">
        <f>-C18</f>
        <v>-125.16</v>
      </c>
      <c r="G36" s="34">
        <f aca="true" t="shared" si="1" ref="G36:G41">+D36+E36+F36</f>
        <v>8999.83587313569</v>
      </c>
    </row>
    <row r="37" spans="2:7" ht="14.25">
      <c r="B37" s="66">
        <v>41852</v>
      </c>
      <c r="C37" s="10">
        <f>+C36+1</f>
        <v>2</v>
      </c>
      <c r="D37" s="34">
        <f>+G36</f>
        <v>8999.83587313569</v>
      </c>
      <c r="E37" s="63">
        <f t="shared" si="0"/>
        <v>124.993593671166</v>
      </c>
      <c r="F37" s="10">
        <f>+F36</f>
        <v>-125.16</v>
      </c>
      <c r="G37" s="34">
        <f t="shared" si="1"/>
        <v>8999.669466806856</v>
      </c>
    </row>
    <row r="38" spans="2:7" ht="14.25">
      <c r="B38" s="66">
        <v>41883</v>
      </c>
      <c r="C38" s="10">
        <f>+C37+1</f>
        <v>3</v>
      </c>
      <c r="D38" s="34">
        <f>+G37</f>
        <v>8999.669466806856</v>
      </c>
      <c r="E38" s="63">
        <f t="shared" si="0"/>
        <v>124.99128254845846</v>
      </c>
      <c r="F38" s="10">
        <f>+F37</f>
        <v>-125.16</v>
      </c>
      <c r="G38" s="34">
        <f t="shared" si="1"/>
        <v>8999.500749355315</v>
      </c>
    </row>
    <row r="39" spans="2:7" ht="14.25">
      <c r="B39" s="66">
        <v>41913</v>
      </c>
      <c r="C39" s="10">
        <f>+C38+1</f>
        <v>4</v>
      </c>
      <c r="D39" s="34">
        <f>+G38</f>
        <v>8999.500749355315</v>
      </c>
      <c r="E39" s="63">
        <f t="shared" si="0"/>
        <v>124.98893932788417</v>
      </c>
      <c r="F39" s="10">
        <f>+F38</f>
        <v>-125.16</v>
      </c>
      <c r="G39" s="34">
        <f t="shared" si="1"/>
        <v>8999.3296886832</v>
      </c>
    </row>
    <row r="40" spans="2:7" ht="14.25">
      <c r="B40" s="66">
        <v>41944</v>
      </c>
      <c r="C40" s="10">
        <f>+C39+1</f>
        <v>5</v>
      </c>
      <c r="D40" s="34">
        <f>+G39</f>
        <v>8999.3296886832</v>
      </c>
      <c r="E40" s="63">
        <f t="shared" si="0"/>
        <v>124.98656356365414</v>
      </c>
      <c r="F40" s="10">
        <f>+F39</f>
        <v>-125.16</v>
      </c>
      <c r="G40" s="34">
        <f t="shared" si="1"/>
        <v>8999.156252246854</v>
      </c>
    </row>
    <row r="41" spans="2:7" ht="14.25">
      <c r="B41" s="66">
        <v>41974</v>
      </c>
      <c r="C41" s="10">
        <f>+C40+1</f>
        <v>6</v>
      </c>
      <c r="D41" s="34">
        <f>+G40</f>
        <v>8999.156252246854</v>
      </c>
      <c r="E41" s="63">
        <f t="shared" si="0"/>
        <v>124.98415480378807</v>
      </c>
      <c r="F41" s="10">
        <f>+F40</f>
        <v>-125.16</v>
      </c>
      <c r="G41" s="34">
        <f t="shared" si="1"/>
        <v>8998.980407050642</v>
      </c>
    </row>
    <row r="42" spans="3:4" ht="14.25">
      <c r="C42" s="21"/>
      <c r="D42" s="72"/>
    </row>
    <row r="43" spans="2:4" ht="14.25">
      <c r="B43" s="9" t="s">
        <v>297</v>
      </c>
      <c r="C43" s="21"/>
      <c r="D43" s="72"/>
    </row>
    <row r="44" spans="3:4" ht="14.25">
      <c r="C44" s="21"/>
      <c r="D44" s="72"/>
    </row>
    <row r="45" spans="2:4" ht="14.25">
      <c r="B45" s="10" t="s">
        <v>298</v>
      </c>
      <c r="C45" s="21">
        <f>+C29</f>
        <v>9000</v>
      </c>
      <c r="D45" s="72"/>
    </row>
    <row r="46" spans="2:4" ht="14.25">
      <c r="B46" s="10" t="s">
        <v>299</v>
      </c>
      <c r="C46" s="21">
        <v>40</v>
      </c>
      <c r="D46" s="72"/>
    </row>
    <row r="47" spans="2:4" ht="14.25">
      <c r="B47" s="10" t="s">
        <v>300</v>
      </c>
      <c r="C47" s="21">
        <f>+C45/C46</f>
        <v>225</v>
      </c>
      <c r="D47" s="72"/>
    </row>
    <row r="48" spans="2:4" ht="14.25">
      <c r="B48" s="10" t="s">
        <v>849</v>
      </c>
      <c r="C48" s="21">
        <f>+C47/12*6</f>
        <v>112.5</v>
      </c>
      <c r="D48" s="72" t="s">
        <v>850</v>
      </c>
    </row>
    <row r="49" spans="3:4" ht="14.25">
      <c r="C49" s="21"/>
      <c r="D49" s="72"/>
    </row>
    <row r="50" spans="2:4" ht="14.25">
      <c r="B50" s="10" t="s">
        <v>123</v>
      </c>
      <c r="C50" s="21">
        <f>+C48</f>
        <v>112.5</v>
      </c>
      <c r="D50" s="72"/>
    </row>
    <row r="51" spans="2:4" ht="14.25">
      <c r="B51" s="10" t="s">
        <v>301</v>
      </c>
      <c r="C51" s="21"/>
      <c r="D51" s="72">
        <f>+C50</f>
        <v>112.5</v>
      </c>
    </row>
    <row r="52" spans="3:4" ht="15" thickBot="1">
      <c r="C52" s="31">
        <f>SUM(C50:C51)</f>
        <v>112.5</v>
      </c>
      <c r="D52" s="31">
        <f>SUM(D50:D51)</f>
        <v>112.5</v>
      </c>
    </row>
    <row r="53" spans="3:4" ht="15" thickTop="1">
      <c r="C53" s="21"/>
      <c r="D53" s="72"/>
    </row>
    <row r="54" spans="3:4" ht="14.25">
      <c r="C54" s="21"/>
      <c r="D54" s="72"/>
    </row>
    <row r="55" ht="14.25">
      <c r="B55" s="9" t="s">
        <v>294</v>
      </c>
    </row>
    <row r="57" spans="2:3" ht="14.25">
      <c r="B57" s="10" t="s">
        <v>295</v>
      </c>
      <c r="C57" s="32" t="s">
        <v>67</v>
      </c>
    </row>
    <row r="58" spans="2:3" ht="14.25">
      <c r="B58" s="10" t="s">
        <v>296</v>
      </c>
      <c r="C58" s="10" t="s">
        <v>67</v>
      </c>
    </row>
    <row r="59" spans="3:4" ht="14.25">
      <c r="C59" s="21"/>
      <c r="D59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34.8515625" style="0" customWidth="1"/>
  </cols>
  <sheetData>
    <row r="2" ht="14.25">
      <c r="B2" s="70" t="s">
        <v>853</v>
      </c>
    </row>
    <row r="4" ht="14.25">
      <c r="B4" t="s">
        <v>854</v>
      </c>
    </row>
    <row r="6" spans="2:6" ht="14.25">
      <c r="B6" t="s">
        <v>855</v>
      </c>
      <c r="C6" s="71"/>
      <c r="D6" s="71"/>
      <c r="E6" s="71"/>
      <c r="F6" s="71"/>
    </row>
    <row r="7" spans="3:6" ht="14.25">
      <c r="C7" s="71"/>
      <c r="D7" s="71"/>
      <c r="E7" s="71"/>
      <c r="F7" s="71"/>
    </row>
    <row r="8" spans="2:6" ht="14.25">
      <c r="B8" t="s">
        <v>856</v>
      </c>
      <c r="C8" s="71">
        <f>+'HT Inicial'!C95</f>
        <v>5500</v>
      </c>
      <c r="D8" s="71"/>
      <c r="E8" s="71"/>
      <c r="F8" s="71"/>
    </row>
    <row r="9" spans="2:6" ht="14.25">
      <c r="B9" t="s">
        <v>99</v>
      </c>
      <c r="C9" s="71"/>
      <c r="D9" s="71">
        <f>+C8</f>
        <v>5500</v>
      </c>
      <c r="E9" s="71"/>
      <c r="F9" s="71"/>
    </row>
    <row r="10" spans="3:6" ht="15" thickBot="1">
      <c r="C10" s="20">
        <f>SUM(C8:C9)</f>
        <v>5500</v>
      </c>
      <c r="D10" s="20">
        <f>SUM(D8:D9)</f>
        <v>5500</v>
      </c>
      <c r="E10" s="71"/>
      <c r="F10" s="71"/>
    </row>
    <row r="11" spans="3:6" ht="15" thickTop="1">
      <c r="C11" s="55"/>
      <c r="D11" s="55"/>
      <c r="E11" s="71"/>
      <c r="F11" s="71"/>
    </row>
    <row r="12" spans="3:6" ht="14.25">
      <c r="C12" s="65"/>
      <c r="D12" s="71"/>
      <c r="E12" s="71"/>
      <c r="F12" s="71"/>
    </row>
    <row r="13" spans="3:6" ht="14.25">
      <c r="C13" s="71"/>
      <c r="D13" s="71"/>
      <c r="E13" s="71"/>
      <c r="F13" s="71"/>
    </row>
    <row r="14" spans="3:6" ht="14.25">
      <c r="C14" s="71"/>
      <c r="D14" s="71"/>
      <c r="E14" s="71"/>
      <c r="F14" s="7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7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3.00390625" style="77" customWidth="1"/>
    <col min="2" max="2" width="32.7109375" style="77" customWidth="1"/>
    <col min="3" max="3" width="12.57421875" style="77" bestFit="1" customWidth="1"/>
    <col min="4" max="16384" width="11.421875" style="77" customWidth="1"/>
  </cols>
  <sheetData>
    <row r="1" ht="14.25">
      <c r="B1" s="25" t="s">
        <v>422</v>
      </c>
    </row>
    <row r="3" spans="2:3" ht="14.25">
      <c r="B3" s="25" t="s">
        <v>82</v>
      </c>
      <c r="C3" s="77" t="s">
        <v>83</v>
      </c>
    </row>
    <row r="5" spans="2:3" ht="14.25">
      <c r="B5" s="25" t="s">
        <v>428</v>
      </c>
      <c r="C5" s="77" t="s">
        <v>425</v>
      </c>
    </row>
    <row r="7" spans="2:3" ht="14.25">
      <c r="B7" s="25" t="s">
        <v>84</v>
      </c>
      <c r="C7" s="77" t="s">
        <v>424</v>
      </c>
    </row>
    <row r="9" spans="2:3" ht="14.25">
      <c r="B9" s="25" t="s">
        <v>85</v>
      </c>
      <c r="C9" s="77" t="s">
        <v>429</v>
      </c>
    </row>
    <row r="10" ht="14.25">
      <c r="C10" s="77" t="s">
        <v>430</v>
      </c>
    </row>
    <row r="11" ht="14.25">
      <c r="C11" s="77" t="s">
        <v>427</v>
      </c>
    </row>
    <row r="12" ht="14.25">
      <c r="C12" s="77" t="s">
        <v>426</v>
      </c>
    </row>
    <row r="15" ht="14.25">
      <c r="B15" s="25" t="s">
        <v>431</v>
      </c>
    </row>
    <row r="17" spans="2:3" ht="14.25">
      <c r="B17" s="77" t="s">
        <v>432</v>
      </c>
      <c r="C17" s="77">
        <f>+'HT Inicial'!C8</f>
        <v>10304</v>
      </c>
    </row>
    <row r="18" spans="2:4" ht="14.25">
      <c r="B18" s="77" t="s">
        <v>433</v>
      </c>
      <c r="D18" s="77">
        <f>+C17</f>
        <v>10304</v>
      </c>
    </row>
    <row r="19" spans="3:4" ht="15" thickBot="1">
      <c r="C19" s="20">
        <f>SUM(C16:C18)</f>
        <v>10304</v>
      </c>
      <c r="D19" s="20">
        <f>SUM(D16:D18)</f>
        <v>10304</v>
      </c>
    </row>
    <row r="20" spans="3:4" ht="15" thickTop="1">
      <c r="C20" s="42"/>
      <c r="D20" s="42"/>
    </row>
    <row r="22" ht="14.25">
      <c r="B22" s="25" t="s">
        <v>434</v>
      </c>
    </row>
    <row r="24" spans="2:3" ht="14.25">
      <c r="B24" s="77" t="s">
        <v>432</v>
      </c>
      <c r="C24" s="77">
        <v>2120</v>
      </c>
    </row>
    <row r="25" spans="2:4" ht="14.25">
      <c r="B25" s="77" t="s">
        <v>86</v>
      </c>
      <c r="D25" s="77">
        <f>+C24</f>
        <v>2120</v>
      </c>
    </row>
    <row r="26" ht="14.25">
      <c r="C26" s="77" t="s">
        <v>67</v>
      </c>
    </row>
    <row r="27" spans="3:4" ht="15" thickBot="1">
      <c r="C27" s="20">
        <f>SUM(C24:C26)</f>
        <v>2120</v>
      </c>
      <c r="D27" s="20">
        <f>SUM(D24:D26)</f>
        <v>2120</v>
      </c>
    </row>
    <row r="28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8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4.28125" style="77" customWidth="1"/>
    <col min="2" max="2" width="38.57421875" style="77" customWidth="1"/>
    <col min="3" max="16384" width="11.421875" style="77" customWidth="1"/>
  </cols>
  <sheetData>
    <row r="2" ht="14.25">
      <c r="B2" s="25" t="s">
        <v>422</v>
      </c>
    </row>
    <row r="4" spans="2:3" ht="14.25">
      <c r="B4" s="25" t="s">
        <v>82</v>
      </c>
      <c r="C4" s="77" t="s">
        <v>83</v>
      </c>
    </row>
    <row r="6" spans="2:3" ht="14.25">
      <c r="B6" s="25" t="s">
        <v>428</v>
      </c>
      <c r="C6" s="77" t="s">
        <v>423</v>
      </c>
    </row>
    <row r="7" spans="2:3" ht="14.25">
      <c r="B7" s="10"/>
      <c r="C7" s="10"/>
    </row>
    <row r="8" spans="2:3" ht="14.25">
      <c r="B8" s="9" t="s">
        <v>438</v>
      </c>
      <c r="C8" s="10" t="s">
        <v>439</v>
      </c>
    </row>
    <row r="9" spans="2:3" ht="14.25">
      <c r="B9" s="9"/>
      <c r="C9" s="10"/>
    </row>
    <row r="10" spans="2:3" ht="14.25">
      <c r="B10" s="9" t="s">
        <v>85</v>
      </c>
      <c r="C10" s="10" t="s">
        <v>440</v>
      </c>
    </row>
    <row r="12" ht="14.25">
      <c r="B12" s="25" t="s">
        <v>441</v>
      </c>
    </row>
    <row r="14" spans="2:3" ht="14.25">
      <c r="B14" s="77" t="s">
        <v>87</v>
      </c>
      <c r="C14" s="77" t="s">
        <v>88</v>
      </c>
    </row>
    <row r="15" spans="2:3" ht="14.25">
      <c r="B15" s="77" t="s">
        <v>89</v>
      </c>
      <c r="C15" s="77" t="s">
        <v>90</v>
      </c>
    </row>
    <row r="16" spans="2:3" ht="14.25">
      <c r="B16" s="77" t="s">
        <v>91</v>
      </c>
      <c r="C16" s="77">
        <v>3</v>
      </c>
    </row>
    <row r="17" spans="2:3" ht="14.25">
      <c r="B17" s="77" t="s">
        <v>92</v>
      </c>
      <c r="C17" s="77">
        <v>4820</v>
      </c>
    </row>
    <row r="18" spans="2:3" ht="14.25">
      <c r="B18" s="77" t="s">
        <v>442</v>
      </c>
      <c r="C18" s="77">
        <f>+C16*C17</f>
        <v>14460</v>
      </c>
    </row>
    <row r="19" spans="2:6" ht="14.25">
      <c r="B19" s="77" t="s">
        <v>94</v>
      </c>
      <c r="C19" s="77">
        <v>15600</v>
      </c>
      <c r="F19" s="77" t="s">
        <v>67</v>
      </c>
    </row>
    <row r="20" spans="2:6" ht="14.25">
      <c r="B20" s="77" t="s">
        <v>95</v>
      </c>
      <c r="C20" s="77">
        <f>+C18-C19</f>
        <v>-1140</v>
      </c>
      <c r="F20" s="77" t="s">
        <v>67</v>
      </c>
    </row>
    <row r="21" ht="14.25">
      <c r="F21" s="77" t="s">
        <v>67</v>
      </c>
    </row>
    <row r="22" ht="14.25">
      <c r="B22" s="25" t="s">
        <v>443</v>
      </c>
    </row>
    <row r="24" spans="2:3" ht="14.25">
      <c r="B24" s="77" t="s">
        <v>97</v>
      </c>
      <c r="C24" s="77">
        <f>+C18</f>
        <v>14460</v>
      </c>
    </row>
    <row r="25" ht="14.25">
      <c r="B25" s="77" t="s">
        <v>444</v>
      </c>
    </row>
    <row r="26" spans="2:4" ht="14.25">
      <c r="B26" s="77" t="s">
        <v>98</v>
      </c>
      <c r="D26" s="77">
        <f>+C19</f>
        <v>15600</v>
      </c>
    </row>
    <row r="27" spans="2:3" ht="14.25">
      <c r="B27" s="77" t="s">
        <v>123</v>
      </c>
      <c r="C27" s="77">
        <f>-C20</f>
        <v>1140</v>
      </c>
    </row>
    <row r="28" spans="3:4" ht="15" thickBot="1">
      <c r="C28" s="20">
        <f>SUM(C24:C27)</f>
        <v>15600</v>
      </c>
      <c r="D28" s="20">
        <f>SUM(D24:D27)</f>
        <v>15600</v>
      </c>
    </row>
    <row r="29" ht="1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67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4.28125" style="77" customWidth="1"/>
    <col min="2" max="2" width="19.28125" style="77" customWidth="1"/>
    <col min="3" max="16384" width="11.421875" style="77" customWidth="1"/>
  </cols>
  <sheetData>
    <row r="2" ht="14.25">
      <c r="B2" s="25" t="s">
        <v>422</v>
      </c>
    </row>
    <row r="4" spans="2:3" ht="14.25">
      <c r="B4" s="25" t="s">
        <v>82</v>
      </c>
      <c r="C4" s="77" t="s">
        <v>83</v>
      </c>
    </row>
    <row r="6" spans="2:3" ht="14.25">
      <c r="B6" s="25" t="s">
        <v>428</v>
      </c>
      <c r="C6" s="77" t="s">
        <v>464</v>
      </c>
    </row>
    <row r="7" spans="2:3" ht="14.25">
      <c r="B7" s="10"/>
      <c r="C7" s="10"/>
    </row>
    <row r="8" spans="2:3" ht="14.25">
      <c r="B8" s="9" t="s">
        <v>438</v>
      </c>
      <c r="C8" s="10" t="s">
        <v>446</v>
      </c>
    </row>
    <row r="9" spans="2:3" ht="14.25">
      <c r="B9" s="9"/>
      <c r="C9" s="10"/>
    </row>
    <row r="10" spans="2:3" ht="14.25">
      <c r="B10" s="9" t="s">
        <v>85</v>
      </c>
      <c r="C10" s="10" t="s">
        <v>447</v>
      </c>
    </row>
    <row r="12" ht="14.25">
      <c r="B12" s="25" t="s">
        <v>441</v>
      </c>
    </row>
    <row r="16" spans="2:3" ht="14.25">
      <c r="B16" s="77" t="s">
        <v>105</v>
      </c>
      <c r="C16" s="61">
        <v>41913</v>
      </c>
    </row>
    <row r="17" spans="2:3" ht="14.25">
      <c r="B17" s="77" t="s">
        <v>106</v>
      </c>
      <c r="C17" s="77">
        <v>13500</v>
      </c>
    </row>
    <row r="18" spans="2:4" ht="14.25">
      <c r="B18" s="77" t="s">
        <v>107</v>
      </c>
      <c r="C18" s="77">
        <v>12</v>
      </c>
      <c r="D18" s="77" t="s">
        <v>108</v>
      </c>
    </row>
    <row r="19" spans="2:5" ht="14.25">
      <c r="B19" s="77" t="s">
        <v>109</v>
      </c>
      <c r="C19" s="68">
        <v>0.06</v>
      </c>
      <c r="D19" s="77" t="s">
        <v>110</v>
      </c>
      <c r="E19" s="77">
        <f>+C17*C19</f>
        <v>810</v>
      </c>
    </row>
    <row r="21" ht="14.25">
      <c r="B21" s="77" t="s">
        <v>111</v>
      </c>
    </row>
    <row r="22" spans="2:4" ht="14.25">
      <c r="B22" s="77" t="s">
        <v>112</v>
      </c>
      <c r="C22" s="77">
        <v>13446</v>
      </c>
      <c r="D22" s="77" t="s">
        <v>449</v>
      </c>
    </row>
    <row r="23" spans="2:3" ht="14.25">
      <c r="B23" s="77" t="s">
        <v>113</v>
      </c>
      <c r="C23" s="77">
        <v>600</v>
      </c>
    </row>
    <row r="24" spans="2:3" ht="14.25">
      <c r="B24" s="77" t="s">
        <v>450</v>
      </c>
      <c r="C24" s="77">
        <f>+C22+C23</f>
        <v>14046</v>
      </c>
    </row>
    <row r="26" ht="14.25">
      <c r="B26" s="25" t="s">
        <v>448</v>
      </c>
    </row>
    <row r="28" ht="14.25">
      <c r="B28" s="25" t="s">
        <v>104</v>
      </c>
    </row>
    <row r="29" spans="2:3" ht="14.25">
      <c r="B29" s="77">
        <v>0</v>
      </c>
      <c r="C29" s="77">
        <f>-C17</f>
        <v>-13500</v>
      </c>
    </row>
    <row r="30" spans="2:3" ht="14.25">
      <c r="B30" s="77">
        <v>1</v>
      </c>
      <c r="C30" s="77">
        <f>+C17+E19</f>
        <v>14310</v>
      </c>
    </row>
    <row r="32" spans="2:5" ht="14.25">
      <c r="B32" s="25" t="s">
        <v>114</v>
      </c>
      <c r="C32" s="75">
        <f>IRR(C29:C30)</f>
        <v>0.06000000000000005</v>
      </c>
      <c r="D32" s="77" t="s">
        <v>115</v>
      </c>
      <c r="E32" s="53" t="s">
        <v>67</v>
      </c>
    </row>
    <row r="33" spans="3:4" ht="14.25">
      <c r="C33" s="54">
        <f>+(1+C32)^(1/12)-1</f>
        <v>0.004867550565343048</v>
      </c>
      <c r="D33" s="77" t="s">
        <v>116</v>
      </c>
    </row>
    <row r="35" ht="14.25">
      <c r="B35" s="25" t="s">
        <v>117</v>
      </c>
    </row>
    <row r="37" spans="2:4" ht="14.25">
      <c r="B37" s="77" t="s">
        <v>118</v>
      </c>
      <c r="C37" s="77">
        <v>9</v>
      </c>
      <c r="D37" s="77" t="s">
        <v>108</v>
      </c>
    </row>
    <row r="38" spans="2:3" ht="14.25">
      <c r="B38" s="77" t="s">
        <v>119</v>
      </c>
      <c r="C38" s="77">
        <f>+C30</f>
        <v>14310</v>
      </c>
    </row>
    <row r="39" spans="2:4" ht="14.25">
      <c r="B39" s="77" t="s">
        <v>120</v>
      </c>
      <c r="C39" s="77">
        <f>PV(C33,C37,,-C38)</f>
        <v>13698.096923276893</v>
      </c>
      <c r="D39" s="77" t="s">
        <v>451</v>
      </c>
    </row>
    <row r="40" spans="2:3" ht="14.25">
      <c r="B40" s="77" t="s">
        <v>94</v>
      </c>
      <c r="C40" s="77">
        <f>+C24</f>
        <v>14046</v>
      </c>
    </row>
    <row r="41" spans="2:3" ht="14.25">
      <c r="B41" s="77" t="s">
        <v>121</v>
      </c>
      <c r="C41" s="77">
        <f>+C40-C39</f>
        <v>347.903076723107</v>
      </c>
    </row>
    <row r="43" ht="14.25">
      <c r="B43" s="25" t="s">
        <v>452</v>
      </c>
    </row>
    <row r="45" spans="2:3" ht="14.25">
      <c r="B45" s="77" t="s">
        <v>97</v>
      </c>
      <c r="C45" s="77">
        <f>+C39</f>
        <v>13698.096923276893</v>
      </c>
    </row>
    <row r="46" ht="14.25">
      <c r="B46" s="77" t="s">
        <v>103</v>
      </c>
    </row>
    <row r="47" spans="2:4" ht="14.25">
      <c r="B47" s="77" t="s">
        <v>98</v>
      </c>
      <c r="D47" s="77">
        <f>+C22</f>
        <v>13446</v>
      </c>
    </row>
    <row r="48" ht="14.25">
      <c r="B48" s="77" t="s">
        <v>124</v>
      </c>
    </row>
    <row r="49" spans="2:4" ht="14.25">
      <c r="B49" s="77" t="s">
        <v>122</v>
      </c>
      <c r="D49" s="77">
        <f>+C23</f>
        <v>600</v>
      </c>
    </row>
    <row r="50" spans="2:4" ht="14.25">
      <c r="B50" s="77" t="s">
        <v>123</v>
      </c>
      <c r="C50" s="77">
        <f>+C41</f>
        <v>347.903076723107</v>
      </c>
      <c r="D50" s="77" t="s">
        <v>67</v>
      </c>
    </row>
    <row r="51" spans="3:4" ht="15" thickBot="1">
      <c r="C51" s="20">
        <f>SUM(C45:C50)</f>
        <v>14046</v>
      </c>
      <c r="D51" s="20">
        <f>SUM(D45:D50)</f>
        <v>14046</v>
      </c>
    </row>
    <row r="52" ht="15" thickTop="1"/>
    <row r="54" ht="14.25">
      <c r="B54" s="25" t="s">
        <v>453</v>
      </c>
    </row>
    <row r="55" spans="3:6" ht="14.25">
      <c r="C55" s="77" t="s">
        <v>390</v>
      </c>
      <c r="D55" s="77" t="s">
        <v>142</v>
      </c>
      <c r="E55" s="77" t="s">
        <v>292</v>
      </c>
      <c r="F55" s="77" t="s">
        <v>391</v>
      </c>
    </row>
    <row r="56" spans="2:6" ht="14.25">
      <c r="B56" s="77" t="s">
        <v>412</v>
      </c>
      <c r="C56" s="77">
        <f>-C29</f>
        <v>13500</v>
      </c>
      <c r="D56" s="39">
        <f>+C56*$C$33</f>
        <v>65.71193263213115</v>
      </c>
      <c r="F56" s="77">
        <f>+C56+D56+E56</f>
        <v>13565.711932632132</v>
      </c>
    </row>
    <row r="57" spans="2:6" ht="14.25">
      <c r="B57" s="77" t="s">
        <v>413</v>
      </c>
      <c r="C57" s="77">
        <f>+F56</f>
        <v>13565.711932632132</v>
      </c>
      <c r="D57" s="39">
        <f>+C57*$C$33</f>
        <v>66.03178878696447</v>
      </c>
      <c r="F57" s="77">
        <f>+C57+D57+E57</f>
        <v>13631.743721419096</v>
      </c>
    </row>
    <row r="58" spans="2:6" ht="14.25">
      <c r="B58" s="77" t="s">
        <v>414</v>
      </c>
      <c r="C58" s="77">
        <f>+F57</f>
        <v>13631.743721419096</v>
      </c>
      <c r="D58" s="39">
        <f>+C58*$C$33</f>
        <v>66.35320185780508</v>
      </c>
      <c r="F58" s="77">
        <f>+C58+D58+E58</f>
        <v>13698.0969232769</v>
      </c>
    </row>
    <row r="59" spans="2:8" ht="14.25">
      <c r="B59" s="77" t="s">
        <v>867</v>
      </c>
      <c r="C59" s="77">
        <f>+F58</f>
        <v>13698.0969232769</v>
      </c>
      <c r="D59" s="39">
        <f>+C59*$C$33</f>
        <v>66.67617942302034</v>
      </c>
      <c r="F59" s="77">
        <f>+C59+D59+E59</f>
        <v>13764.77310269992</v>
      </c>
      <c r="G59" s="77" t="s">
        <v>872</v>
      </c>
      <c r="H59" s="77">
        <f>+D59</f>
        <v>66.67617942302034</v>
      </c>
    </row>
    <row r="60" spans="2:7" ht="14.25">
      <c r="B60" s="77" t="s">
        <v>868</v>
      </c>
      <c r="C60" s="77">
        <f aca="true" t="shared" si="0" ref="C60:C67">+F59</f>
        <v>13764.77310269992</v>
      </c>
      <c r="D60" s="39">
        <f aca="true" t="shared" si="1" ref="D60:D67">+C60*$C$33</f>
        <v>67.00072909786579</v>
      </c>
      <c r="F60" s="77">
        <f aca="true" t="shared" si="2" ref="F60:F67">+C60+D60+E60</f>
        <v>13831.773831797787</v>
      </c>
      <c r="G60" s="77" t="s">
        <v>873</v>
      </c>
    </row>
    <row r="61" spans="2:9" ht="14.25">
      <c r="B61" s="77" t="s">
        <v>869</v>
      </c>
      <c r="C61" s="77">
        <f t="shared" si="0"/>
        <v>13831.773831797787</v>
      </c>
      <c r="D61" s="39">
        <f t="shared" si="1"/>
        <v>67.32685853466451</v>
      </c>
      <c r="F61" s="77">
        <f t="shared" si="2"/>
        <v>13899.100690332452</v>
      </c>
      <c r="G61" s="77" t="s">
        <v>874</v>
      </c>
      <c r="I61" s="77">
        <f>+H59</f>
        <v>66.67617942302034</v>
      </c>
    </row>
    <row r="62" spans="2:7" ht="14.25">
      <c r="B62" s="77" t="s">
        <v>870</v>
      </c>
      <c r="C62" s="77">
        <f t="shared" si="0"/>
        <v>13899.100690332452</v>
      </c>
      <c r="D62" s="39">
        <f t="shared" si="1"/>
        <v>67.65457542298768</v>
      </c>
      <c r="F62" s="77">
        <f t="shared" si="2"/>
        <v>13966.75526575544</v>
      </c>
      <c r="G62" s="77" t="s">
        <v>875</v>
      </c>
    </row>
    <row r="63" spans="2:6" ht="14.25">
      <c r="B63" s="77" t="s">
        <v>871</v>
      </c>
      <c r="C63" s="77">
        <f t="shared" si="0"/>
        <v>13966.75526575544</v>
      </c>
      <c r="D63" s="39">
        <f t="shared" si="1"/>
        <v>67.9838874898359</v>
      </c>
      <c r="F63" s="77">
        <f t="shared" si="2"/>
        <v>14034.739153245277</v>
      </c>
    </row>
    <row r="64" spans="2:6" ht="14.25">
      <c r="B64" s="77" t="s">
        <v>695</v>
      </c>
      <c r="C64" s="77">
        <f t="shared" si="0"/>
        <v>14034.739153245277</v>
      </c>
      <c r="D64" s="39">
        <f t="shared" si="1"/>
        <v>68.31480249982127</v>
      </c>
      <c r="F64" s="77">
        <f t="shared" si="2"/>
        <v>14103.053955745097</v>
      </c>
    </row>
    <row r="65" spans="2:6" ht="14.25">
      <c r="B65" s="77" t="s">
        <v>696</v>
      </c>
      <c r="C65" s="77">
        <f t="shared" si="0"/>
        <v>14103.053955745097</v>
      </c>
      <c r="D65" s="39">
        <f t="shared" si="1"/>
        <v>68.64732825535056</v>
      </c>
      <c r="F65" s="77">
        <f t="shared" si="2"/>
        <v>14171.701284000448</v>
      </c>
    </row>
    <row r="66" spans="2:6" ht="14.25">
      <c r="B66" s="77" t="s">
        <v>697</v>
      </c>
      <c r="C66" s="77">
        <f t="shared" si="0"/>
        <v>14171.701284000448</v>
      </c>
      <c r="D66" s="39">
        <f t="shared" si="1"/>
        <v>68.98147259680918</v>
      </c>
      <c r="F66" s="77">
        <f t="shared" si="2"/>
        <v>14240.682756597258</v>
      </c>
    </row>
    <row r="67" spans="2:6" ht="14.25">
      <c r="B67" s="77" t="s">
        <v>698</v>
      </c>
      <c r="C67" s="77">
        <f t="shared" si="0"/>
        <v>14240.682756597258</v>
      </c>
      <c r="D67" s="39">
        <f t="shared" si="1"/>
        <v>69.31724340274599</v>
      </c>
      <c r="E67" s="77">
        <f>-C38</f>
        <v>-14310</v>
      </c>
      <c r="F67" s="77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00390625" style="77" customWidth="1"/>
    <col min="2" max="2" width="32.7109375" style="77" customWidth="1"/>
    <col min="3" max="3" width="12.57421875" style="77" bestFit="1" customWidth="1"/>
    <col min="4" max="16384" width="11.421875" style="77" customWidth="1"/>
  </cols>
  <sheetData>
    <row r="1" ht="14.25">
      <c r="B1" s="25" t="s">
        <v>422</v>
      </c>
    </row>
    <row r="3" spans="2:3" ht="14.25">
      <c r="B3" s="25" t="s">
        <v>82</v>
      </c>
      <c r="C3" s="77" t="s">
        <v>83</v>
      </c>
    </row>
    <row r="5" spans="2:3" ht="14.25">
      <c r="B5" s="25" t="s">
        <v>428</v>
      </c>
      <c r="C5" s="77" t="s">
        <v>425</v>
      </c>
    </row>
    <row r="7" spans="2:3" ht="14.25">
      <c r="B7" s="25" t="s">
        <v>84</v>
      </c>
      <c r="C7" s="77" t="s">
        <v>455</v>
      </c>
    </row>
    <row r="9" spans="2:3" ht="14.25">
      <c r="B9" s="25" t="s">
        <v>85</v>
      </c>
      <c r="C9" s="77" t="s">
        <v>456</v>
      </c>
    </row>
    <row r="10" ht="14.25">
      <c r="C10" s="77" t="s">
        <v>457</v>
      </c>
    </row>
    <row r="11" ht="14.25">
      <c r="C11" s="77" t="s">
        <v>458</v>
      </c>
    </row>
    <row r="13" ht="14.25">
      <c r="B13" s="25" t="s">
        <v>460</v>
      </c>
    </row>
    <row r="15" spans="2:3" ht="14.25">
      <c r="B15" s="77" t="s">
        <v>432</v>
      </c>
      <c r="C15" s="77">
        <f>+'HT Inicial'!C15</f>
        <v>8000</v>
      </c>
    </row>
    <row r="16" spans="2:4" ht="14.25">
      <c r="B16" s="77" t="s">
        <v>98</v>
      </c>
      <c r="D16" s="77">
        <f>+C15</f>
        <v>8000</v>
      </c>
    </row>
    <row r="17" ht="14.25">
      <c r="B17" s="77" t="s">
        <v>459</v>
      </c>
    </row>
    <row r="18" spans="3:4" ht="15" thickBot="1">
      <c r="C18" s="20">
        <f>SUM(C14:C16)</f>
        <v>8000</v>
      </c>
      <c r="D18" s="20">
        <f>SUM(D14:D16)</f>
        <v>8000</v>
      </c>
    </row>
    <row r="19" spans="3:4" ht="15" thickTop="1">
      <c r="C19" s="42"/>
      <c r="D19" s="4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F72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1.8515625" style="77" customWidth="1"/>
    <col min="2" max="2" width="38.8515625" style="77" customWidth="1"/>
    <col min="3" max="16384" width="11.421875" style="77" customWidth="1"/>
  </cols>
  <sheetData>
    <row r="3" ht="14.25">
      <c r="B3" s="25" t="s">
        <v>422</v>
      </c>
    </row>
    <row r="5" spans="2:3" ht="14.25">
      <c r="B5" s="25" t="s">
        <v>82</v>
      </c>
      <c r="C5" s="77" t="s">
        <v>83</v>
      </c>
    </row>
    <row r="7" spans="2:3" ht="14.25">
      <c r="B7" s="25" t="s">
        <v>428</v>
      </c>
      <c r="C7" s="77" t="s">
        <v>464</v>
      </c>
    </row>
    <row r="9" spans="2:3" ht="14.25">
      <c r="B9" s="25" t="s">
        <v>438</v>
      </c>
      <c r="C9" s="77" t="s">
        <v>465</v>
      </c>
    </row>
    <row r="10" spans="2:3" ht="14.25">
      <c r="B10" s="25"/>
      <c r="C10" s="77" t="s">
        <v>466</v>
      </c>
    </row>
    <row r="11" spans="2:3" ht="14.25">
      <c r="B11" s="25"/>
      <c r="C11" s="77" t="s">
        <v>467</v>
      </c>
    </row>
    <row r="12" spans="2:3" ht="14.25">
      <c r="B12" s="25" t="s">
        <v>85</v>
      </c>
      <c r="C12" s="77" t="s">
        <v>468</v>
      </c>
    </row>
    <row r="13" ht="14.25">
      <c r="C13" s="77" t="s">
        <v>469</v>
      </c>
    </row>
    <row r="14" ht="14.25">
      <c r="C14" s="77" t="s">
        <v>470</v>
      </c>
    </row>
    <row r="15" ht="14.25">
      <c r="C15" s="77" t="s">
        <v>471</v>
      </c>
    </row>
    <row r="16" ht="14.25">
      <c r="C16" s="77" t="s">
        <v>472</v>
      </c>
    </row>
    <row r="18" ht="14.25">
      <c r="B18" s="25" t="s">
        <v>473</v>
      </c>
    </row>
    <row r="20" spans="2:3" ht="14.25">
      <c r="B20" s="77" t="s">
        <v>474</v>
      </c>
      <c r="C20" s="77">
        <v>925</v>
      </c>
    </row>
    <row r="21" spans="2:3" ht="14.25">
      <c r="B21" s="77" t="s">
        <v>475</v>
      </c>
      <c r="C21" s="77">
        <v>1000</v>
      </c>
    </row>
    <row r="22" ht="14.25">
      <c r="B22" s="77" t="s">
        <v>476</v>
      </c>
    </row>
    <row r="24" ht="14.25">
      <c r="B24" s="77" t="s">
        <v>477</v>
      </c>
    </row>
    <row r="26" spans="2:3" ht="14.25">
      <c r="B26" s="77" t="s">
        <v>478</v>
      </c>
      <c r="C26" s="77">
        <f>+C20</f>
        <v>925</v>
      </c>
    </row>
    <row r="27" spans="2:4" ht="14.25">
      <c r="B27" s="77" t="s">
        <v>408</v>
      </c>
      <c r="D27" s="77">
        <f>+C26</f>
        <v>925</v>
      </c>
    </row>
    <row r="29" ht="14.25">
      <c r="B29" s="25" t="s">
        <v>479</v>
      </c>
    </row>
    <row r="31" ht="14.25">
      <c r="B31" s="77" t="s">
        <v>480</v>
      </c>
    </row>
    <row r="33" spans="2:3" ht="14.25">
      <c r="B33" s="77" t="s">
        <v>481</v>
      </c>
      <c r="C33" s="77">
        <f>-C20</f>
        <v>-925</v>
      </c>
    </row>
    <row r="34" spans="2:3" ht="14.25">
      <c r="B34" s="77" t="s">
        <v>482</v>
      </c>
      <c r="C34" s="77">
        <f>+C21</f>
        <v>1000</v>
      </c>
    </row>
    <row r="35" spans="2:4" ht="14.25">
      <c r="B35" s="77" t="s">
        <v>483</v>
      </c>
      <c r="C35" s="75">
        <f>IRR(C33:C34)</f>
        <v>0.08108108108108092</v>
      </c>
      <c r="D35" s="77" t="s">
        <v>484</v>
      </c>
    </row>
    <row r="36" spans="2:4" ht="14.25">
      <c r="B36" s="77" t="s">
        <v>488</v>
      </c>
      <c r="C36" s="53">
        <f>+(1+C35)^(1/5)-1</f>
        <v>0.01571450260395091</v>
      </c>
      <c r="D36" s="77" t="s">
        <v>116</v>
      </c>
    </row>
    <row r="38" ht="14.25">
      <c r="B38" s="77" t="s">
        <v>485</v>
      </c>
    </row>
    <row r="40" spans="2:6" ht="14.25">
      <c r="B40" s="77" t="s">
        <v>486</v>
      </c>
      <c r="C40" s="77">
        <f>+C26</f>
        <v>925</v>
      </c>
      <c r="E40" s="77" t="s">
        <v>877</v>
      </c>
      <c r="F40" s="77">
        <f>+C34</f>
        <v>1000</v>
      </c>
    </row>
    <row r="41" spans="2:6" ht="14.25">
      <c r="B41" s="77" t="s">
        <v>487</v>
      </c>
      <c r="C41" s="53">
        <f>+C36</f>
        <v>0.01571450260395091</v>
      </c>
      <c r="F41" s="77">
        <v>4</v>
      </c>
    </row>
    <row r="42" spans="2:6" ht="14.25">
      <c r="B42" s="77" t="s">
        <v>489</v>
      </c>
      <c r="C42" s="77">
        <f>+C40*C41</f>
        <v>14.53591490865459</v>
      </c>
      <c r="F42" s="77">
        <f>PV(C41,F41,,-F40)</f>
        <v>939.5359149086551</v>
      </c>
    </row>
    <row r="44" spans="2:6" ht="14.25">
      <c r="B44" s="77" t="s">
        <v>477</v>
      </c>
      <c r="F44" s="77">
        <f>+C40*C41</f>
        <v>14.53591490865459</v>
      </c>
    </row>
    <row r="46" spans="2:3" ht="14.25">
      <c r="B46" s="77" t="s">
        <v>478</v>
      </c>
      <c r="C46" s="77">
        <f>+C42</f>
        <v>14.53591490865459</v>
      </c>
    </row>
    <row r="47" spans="2:4" ht="14.25">
      <c r="B47" s="77" t="s">
        <v>490</v>
      </c>
      <c r="D47" s="77">
        <f>+C46</f>
        <v>14.53591490865459</v>
      </c>
    </row>
    <row r="50" ht="14.25">
      <c r="B50" s="25" t="s">
        <v>491</v>
      </c>
    </row>
    <row r="52" ht="14.25">
      <c r="B52" s="77" t="s">
        <v>492</v>
      </c>
    </row>
    <row r="53" spans="2:3" ht="14.25">
      <c r="B53" s="77" t="s">
        <v>148</v>
      </c>
      <c r="C53" s="77">
        <f>+C26</f>
        <v>925</v>
      </c>
    </row>
    <row r="54" spans="2:3" ht="14.25">
      <c r="B54" s="77" t="s">
        <v>493</v>
      </c>
      <c r="C54" s="77">
        <f>+C46</f>
        <v>14.53591490865459</v>
      </c>
    </row>
    <row r="55" spans="2:3" ht="14.25">
      <c r="B55" s="25" t="s">
        <v>494</v>
      </c>
      <c r="C55" s="25">
        <f>++C53+C54</f>
        <v>939.5359149086546</v>
      </c>
    </row>
    <row r="56" spans="2:3" ht="14.25">
      <c r="B56" s="77" t="s">
        <v>320</v>
      </c>
      <c r="C56" s="77">
        <f>+C21</f>
        <v>1000</v>
      </c>
    </row>
    <row r="57" spans="2:3" ht="14.25">
      <c r="B57" s="77" t="s">
        <v>495</v>
      </c>
      <c r="C57" s="77">
        <f>+C55-C56</f>
        <v>-60.464085091345396</v>
      </c>
    </row>
    <row r="59" ht="14.25">
      <c r="B59" s="25" t="s">
        <v>496</v>
      </c>
    </row>
    <row r="61" spans="2:3" ht="14.25">
      <c r="B61" s="77" t="s">
        <v>123</v>
      </c>
      <c r="C61" s="77">
        <f>-C57</f>
        <v>60.464085091345396</v>
      </c>
    </row>
    <row r="62" spans="2:4" ht="14.25">
      <c r="B62" s="77" t="s">
        <v>497</v>
      </c>
      <c r="D62" s="77">
        <f>+C61</f>
        <v>60.464085091345396</v>
      </c>
    </row>
    <row r="63" spans="2:4" ht="14.25">
      <c r="B63" s="77" t="s">
        <v>67</v>
      </c>
      <c r="C63" s="77" t="s">
        <v>67</v>
      </c>
      <c r="D63" s="77" t="s">
        <v>67</v>
      </c>
    </row>
    <row r="64" spans="3:4" ht="15" thickBot="1">
      <c r="C64" s="20">
        <f>SUM(C61:C63)</f>
        <v>60.464085091345396</v>
      </c>
      <c r="D64" s="20">
        <f>SUM(D61:D63)</f>
        <v>60.464085091345396</v>
      </c>
    </row>
    <row r="65" ht="15" thickTop="1"/>
    <row r="67" ht="14.25">
      <c r="B67" s="77" t="s">
        <v>498</v>
      </c>
    </row>
    <row r="69" spans="2:3" ht="14.25">
      <c r="B69" s="77" t="s">
        <v>499</v>
      </c>
      <c r="C69" s="77">
        <f>+C21</f>
        <v>1000</v>
      </c>
    </row>
    <row r="70" spans="2:4" ht="14.25">
      <c r="B70" s="77" t="s">
        <v>500</v>
      </c>
      <c r="C70" s="77">
        <v>4</v>
      </c>
      <c r="D70" s="77" t="s">
        <v>501</v>
      </c>
    </row>
    <row r="71" spans="2:3" ht="14.25">
      <c r="B71" s="77" t="s">
        <v>502</v>
      </c>
      <c r="C71" s="75">
        <f>+C36</f>
        <v>0.01571450260395091</v>
      </c>
    </row>
    <row r="72" spans="2:3" ht="14.25">
      <c r="B72" s="25" t="s">
        <v>503</v>
      </c>
      <c r="C72" s="25">
        <f>+C69/(1+C71)^C70</f>
        <v>939.5359149086551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2.28125" style="10" customWidth="1"/>
    <col min="2" max="2" width="36.8515625" style="10" customWidth="1"/>
    <col min="3" max="16384" width="11.57421875" style="10" customWidth="1"/>
  </cols>
  <sheetData>
    <row r="2" spans="2:3" ht="14.25">
      <c r="B2" s="25" t="s">
        <v>506</v>
      </c>
      <c r="C2" s="77"/>
    </row>
    <row r="3" spans="2:3" ht="14.25">
      <c r="B3" s="77"/>
      <c r="C3" s="77"/>
    </row>
    <row r="4" spans="2:3" ht="14.25">
      <c r="B4" s="25" t="s">
        <v>82</v>
      </c>
      <c r="C4" s="77" t="s">
        <v>83</v>
      </c>
    </row>
    <row r="5" spans="2:3" ht="14.25">
      <c r="B5" s="77"/>
      <c r="C5" s="77"/>
    </row>
    <row r="6" spans="2:3" ht="14.25">
      <c r="B6" s="25" t="s">
        <v>428</v>
      </c>
      <c r="C6" s="77" t="s">
        <v>507</v>
      </c>
    </row>
    <row r="7" spans="2:3" ht="14.25">
      <c r="B7" s="77"/>
      <c r="C7" s="77"/>
    </row>
    <row r="8" spans="2:3" ht="14.25">
      <c r="B8" s="25" t="s">
        <v>508</v>
      </c>
      <c r="C8" s="77" t="s">
        <v>509</v>
      </c>
    </row>
    <row r="9" spans="2:3" ht="14.25">
      <c r="B9" s="25"/>
      <c r="C9" s="77"/>
    </row>
    <row r="10" spans="2:3" ht="14.25">
      <c r="B10" s="25" t="s">
        <v>85</v>
      </c>
      <c r="C10" s="77" t="s">
        <v>126</v>
      </c>
    </row>
    <row r="11" spans="2:3" ht="14.25">
      <c r="B11" s="77"/>
      <c r="C11" s="77" t="s">
        <v>67</v>
      </c>
    </row>
    <row r="12" spans="2:5" ht="14.25">
      <c r="B12" s="25" t="s">
        <v>443</v>
      </c>
      <c r="C12" s="77"/>
      <c r="D12" s="77"/>
      <c r="E12" s="77"/>
    </row>
    <row r="13" spans="2:5" ht="14.25">
      <c r="B13" s="77"/>
      <c r="C13" s="77"/>
      <c r="D13" s="77"/>
      <c r="E13" s="77"/>
    </row>
    <row r="14" spans="2:5" ht="14.25">
      <c r="B14" s="77" t="s">
        <v>127</v>
      </c>
      <c r="C14" s="77">
        <v>1300</v>
      </c>
      <c r="D14" s="77"/>
      <c r="E14" s="77"/>
    </row>
    <row r="15" spans="2:5" ht="14.25">
      <c r="B15" s="77" t="s">
        <v>128</v>
      </c>
      <c r="C15" s="77"/>
      <c r="D15" s="77"/>
      <c r="E15" s="77"/>
    </row>
    <row r="16" spans="2:5" ht="14.25">
      <c r="B16" s="77" t="s">
        <v>129</v>
      </c>
      <c r="C16" s="77"/>
      <c r="D16" s="77">
        <f>+C14</f>
        <v>1300</v>
      </c>
      <c r="E16" s="77"/>
    </row>
    <row r="17" spans="2:5" ht="14.25">
      <c r="B17" s="77" t="s">
        <v>128</v>
      </c>
      <c r="C17" s="77" t="s">
        <v>67</v>
      </c>
      <c r="D17" s="77" t="s">
        <v>67</v>
      </c>
      <c r="E17" s="77"/>
    </row>
    <row r="18" spans="2:5" ht="15" thickBot="1">
      <c r="B18" s="77"/>
      <c r="C18" s="20">
        <f>SUM(C14:C17)</f>
        <v>1300</v>
      </c>
      <c r="D18" s="20">
        <f>SUM(D14:D17)</f>
        <v>1300</v>
      </c>
      <c r="E18" s="77"/>
    </row>
    <row r="19" ht="1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NESTOR JIMENEZ</cp:lastModifiedBy>
  <dcterms:created xsi:type="dcterms:W3CDTF">2012-07-14T17:23:27Z</dcterms:created>
  <dcterms:modified xsi:type="dcterms:W3CDTF">2014-08-27T01:33:46Z</dcterms:modified>
  <cp:category/>
  <cp:version/>
  <cp:contentType/>
  <cp:contentStatus/>
</cp:coreProperties>
</file>